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4280" yWindow="285" windowWidth="14415" windowHeight="12165" tabRatio="826" activeTab="2"/>
  </bookViews>
  <sheets>
    <sheet name="General Dashboard" sheetId="1" r:id="rId1"/>
    <sheet name="Start Up Costs" sheetId="6" r:id="rId2"/>
    <sheet name="Financial Model" sheetId="11" r:id="rId3"/>
    <sheet name="Summary" sheetId="12" r:id="rId4"/>
    <sheet name="Weekly Overheads" sheetId="5" r:id="rId5"/>
    <sheet name="Community Shares" sheetId="8" r:id="rId6"/>
    <sheet name="P&amp;L" sheetId="2" r:id="rId7"/>
    <sheet name="Cash Flow" sheetId="3" r:id="rId8"/>
    <sheet name="Balance Sheet" sheetId="4" r:id="rId9"/>
    <sheet name="Land Transaction Tax Rates" sheetId="7" r:id="rId10"/>
    <sheet name="Mortgage" sheetId="9" r:id="rId11"/>
    <sheet name="Tax" sheetId="10" r:id="rId12"/>
  </sheets>
  <externalReferences>
    <externalReference r:id="rId13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"/>
  <c r="C5"/>
  <c r="D15"/>
  <c r="D14"/>
  <c r="U77" i="12" l="1"/>
  <c r="V77"/>
  <c r="W77"/>
  <c r="X77"/>
  <c r="U71"/>
  <c r="V71"/>
  <c r="W71"/>
  <c r="X71"/>
  <c r="U70"/>
  <c r="V70"/>
  <c r="V72" s="1"/>
  <c r="W70"/>
  <c r="W72" s="1"/>
  <c r="X70"/>
  <c r="T66"/>
  <c r="X72" l="1"/>
  <c r="U72"/>
  <c r="N43" l="1"/>
  <c r="O43"/>
  <c r="P43"/>
  <c r="Q43"/>
  <c r="N42"/>
  <c r="N44" s="1"/>
  <c r="O42"/>
  <c r="P42"/>
  <c r="P44" s="1"/>
  <c r="Q42"/>
  <c r="Q44" s="1"/>
  <c r="L21"/>
  <c r="L22"/>
  <c r="L23"/>
  <c r="L25"/>
  <c r="L27"/>
  <c r="L32"/>
  <c r="L34"/>
  <c r="L36"/>
  <c r="L37"/>
  <c r="L38"/>
  <c r="L39"/>
  <c r="L41"/>
  <c r="L42"/>
  <c r="L43"/>
  <c r="L44"/>
  <c r="L46"/>
  <c r="L47"/>
  <c r="L48"/>
  <c r="L50"/>
  <c r="L53"/>
  <c r="L55"/>
  <c r="M43"/>
  <c r="O44" l="1"/>
  <c r="E4"/>
  <c r="B7" l="1"/>
  <c r="W23" i="11" l="1"/>
  <c r="AD21"/>
  <c r="X21"/>
  <c r="Y21"/>
  <c r="D7"/>
  <c r="B31" i="3"/>
  <c r="I32"/>
  <c r="J32"/>
  <c r="K32"/>
  <c r="L32"/>
  <c r="H30"/>
  <c r="AR40" i="2"/>
  <c r="AS40"/>
  <c r="AT40"/>
  <c r="AU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M40"/>
  <c r="N3" i="10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AG3" s="1"/>
  <c r="AH3" s="1"/>
  <c r="AI3" s="1"/>
  <c r="AJ3" s="1"/>
  <c r="AK3" s="1"/>
  <c r="AL3" s="1"/>
  <c r="AM3" s="1"/>
  <c r="AN3" s="1"/>
  <c r="AO3" s="1"/>
  <c r="AP3" s="1"/>
  <c r="AQ3" s="1"/>
  <c r="AR3" s="1"/>
  <c r="AS3" s="1"/>
  <c r="AT3" s="1"/>
  <c r="AU3" s="1"/>
  <c r="B13" i="2"/>
  <c r="C13"/>
  <c r="D13"/>
  <c r="E13"/>
  <c r="F13"/>
  <c r="B14"/>
  <c r="C14"/>
  <c r="D14"/>
  <c r="E14"/>
  <c r="F14"/>
  <c r="N21" i="11"/>
  <c r="L18" i="6"/>
  <c r="H23" i="2" l="1"/>
  <c r="B40"/>
  <c r="L54" i="12" s="1"/>
  <c r="B38" i="2"/>
  <c r="L52" i="12" s="1"/>
  <c r="B37" i="2"/>
  <c r="L51" i="12" s="1"/>
  <c r="C23" i="2" l="1"/>
  <c r="D23" s="1"/>
  <c r="E23" s="1"/>
  <c r="F23" s="1"/>
  <c r="M37" i="12"/>
  <c r="M39" s="1"/>
  <c r="H25" i="2"/>
  <c r="B15" i="4"/>
  <c r="B14"/>
  <c r="B13"/>
  <c r="B12"/>
  <c r="B11"/>
  <c r="B8"/>
  <c r="B5"/>
  <c r="B22" i="11" l="1"/>
  <c r="B2" i="12"/>
  <c r="H29" i="2"/>
  <c r="C29" s="1"/>
  <c r="E10" i="6"/>
  <c r="I7" i="11"/>
  <c r="I4"/>
  <c r="AQ21" s="1"/>
  <c r="W21"/>
  <c r="I6"/>
  <c r="B17" i="10"/>
  <c r="M21" i="11" l="1"/>
  <c r="AN21"/>
  <c r="M23" l="1"/>
  <c r="E9" i="12" s="1"/>
  <c r="AD23" i="11"/>
  <c r="O50" i="7"/>
  <c r="L50"/>
  <c r="O48"/>
  <c r="L48"/>
  <c r="O46"/>
  <c r="L46"/>
  <c r="O44"/>
  <c r="L44"/>
  <c r="O42"/>
  <c r="O29"/>
  <c r="L29"/>
  <c r="O27"/>
  <c r="L27"/>
  <c r="O25"/>
  <c r="L25"/>
  <c r="O23"/>
  <c r="L23"/>
  <c r="O21"/>
  <c r="E8" i="11" l="1"/>
  <c r="D9" s="1"/>
  <c r="C23" s="1"/>
  <c r="AC23"/>
  <c r="AY24"/>
  <c r="AY25" s="1"/>
  <c r="AY26" s="1"/>
  <c r="AY27" s="1"/>
  <c r="AY28" s="1"/>
  <c r="AY29" s="1"/>
  <c r="AY30" s="1"/>
  <c r="AY31" s="1"/>
  <c r="AY32" s="1"/>
  <c r="AY33" s="1"/>
  <c r="AY34" s="1"/>
  <c r="AY35" s="1"/>
  <c r="AY36" s="1"/>
  <c r="AY37" s="1"/>
  <c r="AY38" s="1"/>
  <c r="AY39" s="1"/>
  <c r="AY40" s="1"/>
  <c r="AY41" s="1"/>
  <c r="AY42" s="1"/>
  <c r="AY43" s="1"/>
  <c r="AY44" s="1"/>
  <c r="AY45" s="1"/>
  <c r="AY46" s="1"/>
  <c r="AY47" s="1"/>
  <c r="AY48" s="1"/>
  <c r="AY49" s="1"/>
  <c r="AY50" s="1"/>
  <c r="AY51" s="1"/>
  <c r="AY52" s="1"/>
  <c r="AY53" s="1"/>
  <c r="AY54" s="1"/>
  <c r="AY55" s="1"/>
  <c r="AY56" s="1"/>
  <c r="AY57" s="1"/>
  <c r="AY58" s="1"/>
  <c r="AY59" s="1"/>
  <c r="AY60" s="1"/>
  <c r="AY61" s="1"/>
  <c r="AY62" s="1"/>
  <c r="A24"/>
  <c r="AE24" s="1"/>
  <c r="AE23"/>
  <c r="D23"/>
  <c r="AQ23"/>
  <c r="AP21"/>
  <c r="AN23"/>
  <c r="AM21"/>
  <c r="L21"/>
  <c r="H21"/>
  <c r="V21"/>
  <c r="F21"/>
  <c r="D18"/>
  <c r="AF21" s="1"/>
  <c r="D13"/>
  <c r="I21" s="1"/>
  <c r="S2"/>
  <c r="B23" l="1"/>
  <c r="B4" i="12"/>
  <c r="AF24" i="11"/>
  <c r="F12"/>
  <c r="F11"/>
  <c r="AP23"/>
  <c r="E23"/>
  <c r="AM23"/>
  <c r="H35" i="3" s="1"/>
  <c r="F10" i="11"/>
  <c r="F9"/>
  <c r="AF23"/>
  <c r="AG23" s="1"/>
  <c r="AI23" s="1"/>
  <c r="AD24" s="1"/>
  <c r="A25"/>
  <c r="J48" i="7"/>
  <c r="G48"/>
  <c r="E48"/>
  <c r="J46"/>
  <c r="G46"/>
  <c r="E46"/>
  <c r="J44"/>
  <c r="G44"/>
  <c r="E44"/>
  <c r="J42"/>
  <c r="E42"/>
  <c r="J27"/>
  <c r="G27"/>
  <c r="E27"/>
  <c r="J25"/>
  <c r="G25"/>
  <c r="E25"/>
  <c r="J23"/>
  <c r="G23"/>
  <c r="E23"/>
  <c r="J21"/>
  <c r="E21"/>
  <c r="B14" i="6"/>
  <c r="H36" i="3" l="1"/>
  <c r="T76" i="12" s="1"/>
  <c r="E13"/>
  <c r="G23" i="11"/>
  <c r="E3" i="12"/>
  <c r="C35" i="3"/>
  <c r="D35" s="1"/>
  <c r="E35" s="1"/>
  <c r="F35" s="1"/>
  <c r="T75" i="12"/>
  <c r="AH23" i="11"/>
  <c r="F1" i="5"/>
  <c r="H5" i="2"/>
  <c r="M22" i="12" s="1"/>
  <c r="C6" i="5"/>
  <c r="AR23" i="11"/>
  <c r="AQ24" s="1"/>
  <c r="T23"/>
  <c r="AO23"/>
  <c r="S23"/>
  <c r="A26"/>
  <c r="AE25"/>
  <c r="I23"/>
  <c r="E8" i="12" s="1"/>
  <c r="V23" i="11"/>
  <c r="H7" i="10"/>
  <c r="L3"/>
  <c r="K3"/>
  <c r="J3"/>
  <c r="I3"/>
  <c r="H3"/>
  <c r="G3"/>
  <c r="F3"/>
  <c r="E3"/>
  <c r="D3"/>
  <c r="C3"/>
  <c r="C78" i="9"/>
  <c r="C72"/>
  <c r="C76" s="1"/>
  <c r="C80" s="1"/>
  <c r="C68"/>
  <c r="C67"/>
  <c r="C71" s="1"/>
  <c r="C75" s="1"/>
  <c r="C79" s="1"/>
  <c r="C66"/>
  <c r="C70" s="1"/>
  <c r="C74" s="1"/>
  <c r="E10"/>
  <c r="D10"/>
  <c r="C11" i="8"/>
  <c r="E40" i="3" s="1"/>
  <c r="O10" i="7"/>
  <c r="O8"/>
  <c r="J8"/>
  <c r="E8"/>
  <c r="O6"/>
  <c r="J6"/>
  <c r="E6"/>
  <c r="O5"/>
  <c r="N5"/>
  <c r="L5"/>
  <c r="J5"/>
  <c r="I5"/>
  <c r="G5"/>
  <c r="E5"/>
  <c r="D5"/>
  <c r="B5"/>
  <c r="L3"/>
  <c r="G3"/>
  <c r="B3"/>
  <c r="F51" i="6"/>
  <c r="F50"/>
  <c r="F49"/>
  <c r="F48"/>
  <c r="F47"/>
  <c r="F46"/>
  <c r="F45"/>
  <c r="F44"/>
  <c r="F43"/>
  <c r="F42"/>
  <c r="F41"/>
  <c r="F40"/>
  <c r="F39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H8" i="4" s="1"/>
  <c r="J9" i="6"/>
  <c r="I9"/>
  <c r="I8"/>
  <c r="I7"/>
  <c r="I6"/>
  <c r="I4"/>
  <c r="E4"/>
  <c r="H33" i="4"/>
  <c r="H32"/>
  <c r="H24"/>
  <c r="H23"/>
  <c r="L3"/>
  <c r="K3"/>
  <c r="J3"/>
  <c r="I3"/>
  <c r="H3"/>
  <c r="F3"/>
  <c r="E3"/>
  <c r="D3"/>
  <c r="C3"/>
  <c r="L2"/>
  <c r="K2"/>
  <c r="J2"/>
  <c r="I2"/>
  <c r="H2"/>
  <c r="F2"/>
  <c r="E2"/>
  <c r="D2"/>
  <c r="C2"/>
  <c r="H47" i="3"/>
  <c r="H41"/>
  <c r="H38"/>
  <c r="H37"/>
  <c r="F32"/>
  <c r="E32"/>
  <c r="D32"/>
  <c r="H9"/>
  <c r="L3"/>
  <c r="K3"/>
  <c r="J3"/>
  <c r="I3"/>
  <c r="H3"/>
  <c r="F3"/>
  <c r="E3"/>
  <c r="D3"/>
  <c r="C3"/>
  <c r="L2"/>
  <c r="K2"/>
  <c r="J2"/>
  <c r="I2"/>
  <c r="H2"/>
  <c r="F2"/>
  <c r="E2"/>
  <c r="D2"/>
  <c r="C2"/>
  <c r="L30" i="2"/>
  <c r="K30"/>
  <c r="J30"/>
  <c r="I30"/>
  <c r="F30"/>
  <c r="E30"/>
  <c r="D30"/>
  <c r="L31" i="12"/>
  <c r="B16" i="2"/>
  <c r="L30" i="12" s="1"/>
  <c r="B15" i="2"/>
  <c r="L29" i="12" s="1"/>
  <c r="B12" i="2"/>
  <c r="L28" i="12" s="1"/>
  <c r="B11" i="2"/>
  <c r="AA94" i="12" l="1"/>
  <c r="C8" i="4"/>
  <c r="C36" i="3"/>
  <c r="D36" s="1"/>
  <c r="E36" s="1"/>
  <c r="F36" s="1"/>
  <c r="AC21" i="11"/>
  <c r="F17"/>
  <c r="C13" i="8"/>
  <c r="C14" s="1"/>
  <c r="AX23" i="11"/>
  <c r="F5" i="2"/>
  <c r="D5"/>
  <c r="C5"/>
  <c r="E5"/>
  <c r="D6" i="5"/>
  <c r="H12" i="2"/>
  <c r="M28" i="12" s="1"/>
  <c r="C3" i="5"/>
  <c r="AN24" i="11"/>
  <c r="A27"/>
  <c r="AE26"/>
  <c r="AF25"/>
  <c r="C40" i="3"/>
  <c r="D40"/>
  <c r="F40"/>
  <c r="F10" i="9"/>
  <c r="C12" i="2" l="1"/>
  <c r="D12"/>
  <c r="F12"/>
  <c r="E12"/>
  <c r="D3" i="5"/>
  <c r="D24" i="11"/>
  <c r="A28"/>
  <c r="AE27"/>
  <c r="AF26"/>
  <c r="H40" i="3"/>
  <c r="G10" i="9"/>
  <c r="AE28" i="11" l="1"/>
  <c r="A29"/>
  <c r="AF27"/>
  <c r="E11" i="8"/>
  <c r="J40" i="3" s="1"/>
  <c r="H10" i="9"/>
  <c r="AF28" i="11" l="1"/>
  <c r="A30"/>
  <c r="AE29"/>
  <c r="I10" i="9"/>
  <c r="AF29" i="11" l="1"/>
  <c r="A31"/>
  <c r="AE30"/>
  <c r="J10" i="9"/>
  <c r="A32" i="11" l="1"/>
  <c r="AE31"/>
  <c r="AF30"/>
  <c r="K10" i="9"/>
  <c r="A33" i="11" l="1"/>
  <c r="AF31"/>
  <c r="L10" i="9"/>
  <c r="A34" i="11" l="1"/>
  <c r="AE33"/>
  <c r="M10" i="9"/>
  <c r="A35" i="11" l="1"/>
  <c r="AE34"/>
  <c r="AF33"/>
  <c r="N10" i="9"/>
  <c r="A36" i="11" l="1"/>
  <c r="AE35"/>
  <c r="AF34"/>
  <c r="O10" i="9"/>
  <c r="AE36" i="11" l="1"/>
  <c r="A37"/>
  <c r="AF35"/>
  <c r="P10" i="9"/>
  <c r="AF36" i="11" l="1"/>
  <c r="A38"/>
  <c r="AE37"/>
  <c r="Q10" i="9"/>
  <c r="AF37" i="11" l="1"/>
  <c r="A39"/>
  <c r="AE38"/>
  <c r="R10" i="9"/>
  <c r="AF38" i="11" l="1"/>
  <c r="A40"/>
  <c r="AE39"/>
  <c r="S10" i="9"/>
  <c r="AF39" i="11" l="1"/>
  <c r="AE40"/>
  <c r="A41"/>
  <c r="T10" i="9"/>
  <c r="AF40" i="11" l="1"/>
  <c r="A42"/>
  <c r="AE41"/>
  <c r="U10" i="9"/>
  <c r="A43" i="11" l="1"/>
  <c r="AF41"/>
  <c r="V10" i="9"/>
  <c r="A44" i="11" l="1"/>
  <c r="AE43"/>
  <c r="W10" i="9"/>
  <c r="AF43" i="11" l="1"/>
  <c r="A45"/>
  <c r="AE44"/>
  <c r="X10" i="9"/>
  <c r="A46" i="11" l="1"/>
  <c r="AE45"/>
  <c r="AF44"/>
  <c r="Y10" i="9"/>
  <c r="AE46" i="11" l="1"/>
  <c r="A47"/>
  <c r="AF45"/>
  <c r="Z10" i="9"/>
  <c r="AF46" i="11" l="1"/>
  <c r="A48"/>
  <c r="AE47"/>
  <c r="AA10" i="9"/>
  <c r="AF47" i="11" l="1"/>
  <c r="A49"/>
  <c r="AE48"/>
  <c r="AB10" i="9"/>
  <c r="AF48" i="11" l="1"/>
  <c r="A50"/>
  <c r="AE49"/>
  <c r="AC10" i="9"/>
  <c r="AF49" i="11" l="1"/>
  <c r="AE50"/>
  <c r="A51"/>
  <c r="AD10" i="9"/>
  <c r="AF50" i="11" l="1"/>
  <c r="A52"/>
  <c r="AE51"/>
  <c r="AE10" i="9"/>
  <c r="A53" i="11" l="1"/>
  <c r="AF51"/>
  <c r="AF10" i="9"/>
  <c r="A54" i="11" l="1"/>
  <c r="AE53"/>
  <c r="AG10" i="9"/>
  <c r="AE54" i="11" l="1"/>
  <c r="A55"/>
  <c r="AF53"/>
  <c r="AH10" i="9"/>
  <c r="A56" i="11" l="1"/>
  <c r="AE55"/>
  <c r="AF54"/>
  <c r="AI10" i="9"/>
  <c r="A57" i="11" l="1"/>
  <c r="AE56"/>
  <c r="AF55"/>
  <c r="AJ10" i="9"/>
  <c r="A58" i="11" l="1"/>
  <c r="AE57"/>
  <c r="AF56"/>
  <c r="AK10" i="9"/>
  <c r="AF57" i="11" l="1"/>
  <c r="AE58"/>
  <c r="A59"/>
  <c r="AL10" i="9"/>
  <c r="AF58" i="11" l="1"/>
  <c r="A60"/>
  <c r="AE59"/>
  <c r="AM10" i="9"/>
  <c r="A61" i="11" l="1"/>
  <c r="AE60"/>
  <c r="AF59"/>
  <c r="AN10" i="9"/>
  <c r="A62" i="11" l="1"/>
  <c r="AE61"/>
  <c r="AF60"/>
  <c r="AO10" i="9"/>
  <c r="AF61" i="11" l="1"/>
  <c r="AP10" i="9"/>
  <c r="AQ10" l="1"/>
  <c r="D11" i="8" l="1"/>
  <c r="I40" i="3" s="1"/>
  <c r="H8" l="1"/>
  <c r="T64" i="12" s="1"/>
  <c r="D11" i="2" l="1"/>
  <c r="E11"/>
  <c r="F11"/>
  <c r="C11"/>
  <c r="C3" i="6" l="1"/>
  <c r="L14" s="1"/>
  <c r="C8" l="1"/>
  <c r="C15" i="3"/>
  <c r="I5" i="11"/>
  <c r="C24" s="1"/>
  <c r="AP24" s="1"/>
  <c r="I36" i="3" l="1"/>
  <c r="U76" i="12" s="1"/>
  <c r="F13"/>
  <c r="E24" i="11"/>
  <c r="F3" i="12" s="1"/>
  <c r="AM24" i="11"/>
  <c r="I35" i="3" s="1"/>
  <c r="U75" i="12" s="1"/>
  <c r="T24" i="11"/>
  <c r="AR24"/>
  <c r="AQ25" s="1"/>
  <c r="C25"/>
  <c r="U78" i="12" l="1"/>
  <c r="S24" i="11"/>
  <c r="D13" i="8" s="1"/>
  <c r="D14" s="1"/>
  <c r="AO24" i="11"/>
  <c r="AX24" s="1"/>
  <c r="AP25"/>
  <c r="AM25"/>
  <c r="J35" i="3" s="1"/>
  <c r="V75" i="12" s="1"/>
  <c r="C26" i="11"/>
  <c r="I5" i="2"/>
  <c r="N22" i="12" s="1"/>
  <c r="V24" i="11"/>
  <c r="I24"/>
  <c r="I12" i="2" l="1"/>
  <c r="N28" i="12" s="1"/>
  <c r="F8"/>
  <c r="J36" i="3"/>
  <c r="V76" i="12" s="1"/>
  <c r="V78" s="1"/>
  <c r="G13"/>
  <c r="T25" i="11"/>
  <c r="AR25"/>
  <c r="AQ26" s="1"/>
  <c r="S25"/>
  <c r="E13" i="8" s="1"/>
  <c r="E14" s="1"/>
  <c r="AM26" i="11"/>
  <c r="K35" i="3" s="1"/>
  <c r="W75" i="12" s="1"/>
  <c r="AP26" i="11"/>
  <c r="C27"/>
  <c r="AN25"/>
  <c r="AO25" s="1"/>
  <c r="AX25" s="1"/>
  <c r="K36" i="3" l="1"/>
  <c r="W76" i="12" s="1"/>
  <c r="W78" s="1"/>
  <c r="H13"/>
  <c r="AN26" i="11"/>
  <c r="AO26" s="1"/>
  <c r="AX26" s="1"/>
  <c r="S26"/>
  <c r="F13" i="8" s="1"/>
  <c r="F14" s="1"/>
  <c r="D25" i="11"/>
  <c r="E25" s="1"/>
  <c r="G3" i="12" s="1"/>
  <c r="T26" i="11"/>
  <c r="AR26"/>
  <c r="AQ27" s="1"/>
  <c r="AM27"/>
  <c r="L35" i="3" s="1"/>
  <c r="X75" i="12" s="1"/>
  <c r="AP27" i="11"/>
  <c r="C28"/>
  <c r="L36" i="3" l="1"/>
  <c r="X76" i="12" s="1"/>
  <c r="X78" s="1"/>
  <c r="I13"/>
  <c r="AN27" i="11"/>
  <c r="AO27" s="1"/>
  <c r="AX27" s="1"/>
  <c r="T27"/>
  <c r="AR27"/>
  <c r="AQ28" s="1"/>
  <c r="D26"/>
  <c r="E26" s="1"/>
  <c r="H3" i="12" s="1"/>
  <c r="S27" i="11"/>
  <c r="G13" i="8" s="1"/>
  <c r="G14" s="1"/>
  <c r="AP28" i="11"/>
  <c r="C29"/>
  <c r="AM28"/>
  <c r="V25"/>
  <c r="I25"/>
  <c r="J5" i="2"/>
  <c r="O22" i="12" s="1"/>
  <c r="J12" i="2" l="1"/>
  <c r="O28" i="12" s="1"/>
  <c r="G8"/>
  <c r="K5" i="2"/>
  <c r="P22" i="12" s="1"/>
  <c r="I26" i="11"/>
  <c r="V26"/>
  <c r="AP29"/>
  <c r="AM29"/>
  <c r="C30"/>
  <c r="AN28"/>
  <c r="AO28" s="1"/>
  <c r="AX28" s="1"/>
  <c r="D27"/>
  <c r="E27" s="1"/>
  <c r="I3" i="12" s="1"/>
  <c r="S28" i="11"/>
  <c r="H13" i="8" s="1"/>
  <c r="H14" s="1"/>
  <c r="T28" i="11"/>
  <c r="AR28"/>
  <c r="AQ29" s="1"/>
  <c r="K12" i="2" l="1"/>
  <c r="P28" i="12" s="1"/>
  <c r="H8"/>
  <c r="V27" i="11"/>
  <c r="L5" i="2"/>
  <c r="Q22" i="12" s="1"/>
  <c r="I27" i="11"/>
  <c r="T29"/>
  <c r="AR29"/>
  <c r="AQ30" s="1"/>
  <c r="D28"/>
  <c r="E28" s="1"/>
  <c r="S29"/>
  <c r="I13" i="8" s="1"/>
  <c r="I14" s="1"/>
  <c r="AN29" i="11"/>
  <c r="AO29" s="1"/>
  <c r="AX29" s="1"/>
  <c r="AM30"/>
  <c r="AP30"/>
  <c r="C31"/>
  <c r="L12" i="2" l="1"/>
  <c r="Q28" i="12" s="1"/>
  <c r="I8"/>
  <c r="AR30" i="11"/>
  <c r="AQ31" s="1"/>
  <c r="AN30"/>
  <c r="AO30" s="1"/>
  <c r="AX30" s="1"/>
  <c r="AP31"/>
  <c r="AM31"/>
  <c r="C32"/>
  <c r="S30"/>
  <c r="J13" i="8" s="1"/>
  <c r="J14" s="1"/>
  <c r="D29" i="11"/>
  <c r="E29" s="1"/>
  <c r="I28"/>
  <c r="V28"/>
  <c r="T30"/>
  <c r="AN31" l="1"/>
  <c r="AO31" s="1"/>
  <c r="AX31" s="1"/>
  <c r="I29"/>
  <c r="V29"/>
  <c r="D30"/>
  <c r="E30" s="1"/>
  <c r="T31"/>
  <c r="AR31"/>
  <c r="AQ32" s="1"/>
  <c r="AP32"/>
  <c r="AM32"/>
  <c r="C33"/>
  <c r="S31"/>
  <c r="K13" i="8" s="1"/>
  <c r="K14" s="1"/>
  <c r="S32" i="11" l="1"/>
  <c r="L13" i="8" s="1"/>
  <c r="L14" s="1"/>
  <c r="D31" i="11"/>
  <c r="E31" s="1"/>
  <c r="C34"/>
  <c r="AP33"/>
  <c r="AM33"/>
  <c r="AN32"/>
  <c r="AO32" s="1"/>
  <c r="AX32" s="1"/>
  <c r="T32"/>
  <c r="AR32"/>
  <c r="AQ33" s="1"/>
  <c r="I30"/>
  <c r="V30"/>
  <c r="AN33" l="1"/>
  <c r="AO33" s="1"/>
  <c r="AX33" s="1"/>
  <c r="AP34"/>
  <c r="C35"/>
  <c r="AM34"/>
  <c r="D32"/>
  <c r="E32" s="1"/>
  <c r="T33"/>
  <c r="AR33"/>
  <c r="AQ34" s="1"/>
  <c r="S33"/>
  <c r="M13" i="8" s="1"/>
  <c r="M14" s="1"/>
  <c r="I31" i="11"/>
  <c r="V31"/>
  <c r="AN34" l="1"/>
  <c r="AO34" s="1"/>
  <c r="AX34" s="1"/>
  <c r="I32"/>
  <c r="V32"/>
  <c r="AP35"/>
  <c r="AM35"/>
  <c r="C36"/>
  <c r="D33"/>
  <c r="E33" s="1"/>
  <c r="S34"/>
  <c r="N13" i="8" s="1"/>
  <c r="N14" s="1"/>
  <c r="T34" i="11"/>
  <c r="AR34"/>
  <c r="AQ35" s="1"/>
  <c r="I33" l="1"/>
  <c r="V33"/>
  <c r="T35"/>
  <c r="AR35"/>
  <c r="AQ36" s="1"/>
  <c r="S35"/>
  <c r="O13" i="8" s="1"/>
  <c r="O14" s="1"/>
  <c r="AN35" i="11"/>
  <c r="AO35" s="1"/>
  <c r="AX35" s="1"/>
  <c r="AM36"/>
  <c r="AP36"/>
  <c r="C37"/>
  <c r="D34"/>
  <c r="E34" s="1"/>
  <c r="AN36" l="1"/>
  <c r="AO36" s="1"/>
  <c r="AX36" s="1"/>
  <c r="S36"/>
  <c r="P13" i="8" s="1"/>
  <c r="P14" s="1"/>
  <c r="D35" i="11"/>
  <c r="E35" s="1"/>
  <c r="T36"/>
  <c r="AR36"/>
  <c r="AQ37" s="1"/>
  <c r="I34"/>
  <c r="V34"/>
  <c r="AM37"/>
  <c r="AP37"/>
  <c r="C38"/>
  <c r="S37" l="1"/>
  <c r="Q13" i="8" s="1"/>
  <c r="Q14" s="1"/>
  <c r="T37" i="11"/>
  <c r="AR37"/>
  <c r="AQ38" s="1"/>
  <c r="AN37"/>
  <c r="AO37" s="1"/>
  <c r="AX37" s="1"/>
  <c r="AP38"/>
  <c r="C39"/>
  <c r="AM38"/>
  <c r="I35"/>
  <c r="V35"/>
  <c r="D36"/>
  <c r="E36" s="1"/>
  <c r="AN38" l="1"/>
  <c r="AO38" s="1"/>
  <c r="AX38" s="1"/>
  <c r="I36"/>
  <c r="V36"/>
  <c r="T38"/>
  <c r="AR38"/>
  <c r="AQ39" s="1"/>
  <c r="AP39"/>
  <c r="AM39"/>
  <c r="C40"/>
  <c r="S38"/>
  <c r="R13" i="8" s="1"/>
  <c r="R14" s="1"/>
  <c r="D37" i="11"/>
  <c r="E37" s="1"/>
  <c r="AM40" l="1"/>
  <c r="AP40"/>
  <c r="C41"/>
  <c r="AN39"/>
  <c r="AO39" s="1"/>
  <c r="AX39" s="1"/>
  <c r="T39"/>
  <c r="AR39"/>
  <c r="AQ40" s="1"/>
  <c r="D38"/>
  <c r="E38" s="1"/>
  <c r="I37"/>
  <c r="V37"/>
  <c r="S39"/>
  <c r="S13" i="8" s="1"/>
  <c r="S14" s="1"/>
  <c r="AN40" i="11" l="1"/>
  <c r="AO40" s="1"/>
  <c r="AX40" s="1"/>
  <c r="D39"/>
  <c r="E39" s="1"/>
  <c r="I38"/>
  <c r="V38"/>
  <c r="S40"/>
  <c r="T13" i="8" s="1"/>
  <c r="T14" s="1"/>
  <c r="T40" i="11"/>
  <c r="AR40"/>
  <c r="AQ41" s="1"/>
  <c r="AP41"/>
  <c r="C42"/>
  <c r="AM41"/>
  <c r="AP42" l="1"/>
  <c r="C43"/>
  <c r="AM42"/>
  <c r="S41"/>
  <c r="U13" i="8" s="1"/>
  <c r="U14" s="1"/>
  <c r="T41" i="11"/>
  <c r="AR41"/>
  <c r="AQ42" s="1"/>
  <c r="AN41"/>
  <c r="AO41" s="1"/>
  <c r="AX41" s="1"/>
  <c r="I39"/>
  <c r="V39"/>
  <c r="D40"/>
  <c r="E40" s="1"/>
  <c r="AN42" l="1"/>
  <c r="AO42" s="1"/>
  <c r="AX42" s="1"/>
  <c r="S42"/>
  <c r="V13" i="8" s="1"/>
  <c r="V14" s="1"/>
  <c r="D41" i="11"/>
  <c r="E41" s="1"/>
  <c r="T42"/>
  <c r="AR42"/>
  <c r="AQ43" s="1"/>
  <c r="I40"/>
  <c r="V40"/>
  <c r="AM43"/>
  <c r="AP43"/>
  <c r="C44"/>
  <c r="AP44" l="1"/>
  <c r="AM44"/>
  <c r="C45"/>
  <c r="AN43"/>
  <c r="AO43" s="1"/>
  <c r="AX43" s="1"/>
  <c r="I41"/>
  <c r="V41"/>
  <c r="D42"/>
  <c r="E42" s="1"/>
  <c r="S43"/>
  <c r="W13" i="8" s="1"/>
  <c r="W14" s="1"/>
  <c r="T43" i="11"/>
  <c r="AR43"/>
  <c r="AQ44" s="1"/>
  <c r="AP45" l="1"/>
  <c r="AM45"/>
  <c r="C46"/>
  <c r="AN44"/>
  <c r="AO44" s="1"/>
  <c r="AX44" s="1"/>
  <c r="I42"/>
  <c r="V42"/>
  <c r="T44"/>
  <c r="AR44"/>
  <c r="AQ45" s="1"/>
  <c r="D43"/>
  <c r="E43" s="1"/>
  <c r="S44"/>
  <c r="X13" i="8" s="1"/>
  <c r="X14" s="1"/>
  <c r="C47" i="11" l="1"/>
  <c r="AP46"/>
  <c r="AM46"/>
  <c r="I43"/>
  <c r="V43"/>
  <c r="T45"/>
  <c r="AR45"/>
  <c r="AQ46" s="1"/>
  <c r="D44"/>
  <c r="E44" s="1"/>
  <c r="AN45"/>
  <c r="AO45" s="1"/>
  <c r="AX45" s="1"/>
  <c r="S45"/>
  <c r="Y13" i="8" s="1"/>
  <c r="Y14" s="1"/>
  <c r="Z14" l="1"/>
  <c r="AN46" i="11"/>
  <c r="AO46" s="1"/>
  <c r="AX46" s="1"/>
  <c r="D45"/>
  <c r="E45" s="1"/>
  <c r="AP47"/>
  <c r="AM47"/>
  <c r="C48"/>
  <c r="I44"/>
  <c r="V44"/>
  <c r="T46"/>
  <c r="AR46"/>
  <c r="AQ47" s="1"/>
  <c r="S46"/>
  <c r="Z13" i="8" s="1"/>
  <c r="S47" i="11" l="1"/>
  <c r="AA13" i="8" s="1"/>
  <c r="AA14" s="1"/>
  <c r="AN47" i="11"/>
  <c r="AO47" s="1"/>
  <c r="AX47" s="1"/>
  <c r="AP48"/>
  <c r="AM48"/>
  <c r="C49"/>
  <c r="D46"/>
  <c r="E46" s="1"/>
  <c r="T47"/>
  <c r="AR47"/>
  <c r="AQ48" s="1"/>
  <c r="I45"/>
  <c r="V45"/>
  <c r="T48" l="1"/>
  <c r="AR48"/>
  <c r="AQ49" s="1"/>
  <c r="AN48"/>
  <c r="AO48" s="1"/>
  <c r="AX48" s="1"/>
  <c r="I46"/>
  <c r="V46"/>
  <c r="S48"/>
  <c r="AB13" i="8" s="1"/>
  <c r="AB14" s="1"/>
  <c r="AP49" i="11"/>
  <c r="AM49"/>
  <c r="C50"/>
  <c r="D47"/>
  <c r="E47" s="1"/>
  <c r="T49" l="1"/>
  <c r="AR49"/>
  <c r="AQ50" s="1"/>
  <c r="AP50"/>
  <c r="C51"/>
  <c r="AM50"/>
  <c r="S49"/>
  <c r="AC13" i="8" s="1"/>
  <c r="AC14" s="1"/>
  <c r="D48" i="11"/>
  <c r="E48" s="1"/>
  <c r="I47"/>
  <c r="V47"/>
  <c r="AN49"/>
  <c r="AO49" s="1"/>
  <c r="AX49" s="1"/>
  <c r="AN50" l="1"/>
  <c r="AO50" s="1"/>
  <c r="AX50" s="1"/>
  <c r="AM51"/>
  <c r="AP51"/>
  <c r="C52"/>
  <c r="I48"/>
  <c r="V48"/>
  <c r="D49"/>
  <c r="E49" s="1"/>
  <c r="S50"/>
  <c r="AD13" i="8" s="1"/>
  <c r="AD14" s="1"/>
  <c r="T50" i="11"/>
  <c r="AR50"/>
  <c r="AQ51" s="1"/>
  <c r="S51" l="1"/>
  <c r="AE13" i="8" s="1"/>
  <c r="AE14" s="1"/>
  <c r="T51" i="11"/>
  <c r="AR51"/>
  <c r="AQ52" s="1"/>
  <c r="AM52"/>
  <c r="AP52"/>
  <c r="C53"/>
  <c r="AN51"/>
  <c r="AO51" s="1"/>
  <c r="AX51" s="1"/>
  <c r="I49"/>
  <c r="V49"/>
  <c r="D50"/>
  <c r="E50" s="1"/>
  <c r="AF14" i="8" l="1"/>
  <c r="AN52" i="11"/>
  <c r="AO52" s="1"/>
  <c r="AX52" s="1"/>
  <c r="I50"/>
  <c r="V50"/>
  <c r="AR52"/>
  <c r="AQ53" s="1"/>
  <c r="T52"/>
  <c r="D51"/>
  <c r="E51" s="1"/>
  <c r="AP53"/>
  <c r="AM53"/>
  <c r="C54"/>
  <c r="S52"/>
  <c r="AF13" i="8" s="1"/>
  <c r="AG14" l="1"/>
  <c r="AN53" i="11"/>
  <c r="AO53" s="1"/>
  <c r="AX53" s="1"/>
  <c r="S53"/>
  <c r="AG13" i="8" s="1"/>
  <c r="I51" i="11"/>
  <c r="V51"/>
  <c r="T53"/>
  <c r="AR53"/>
  <c r="AQ54" s="1"/>
  <c r="C55"/>
  <c r="AP54"/>
  <c r="AM54"/>
  <c r="D52"/>
  <c r="E52" s="1"/>
  <c r="AR54" l="1"/>
  <c r="AQ55" s="1"/>
  <c r="T54"/>
  <c r="S54"/>
  <c r="AH13" i="8" s="1"/>
  <c r="AH14" s="1"/>
  <c r="I52" i="11"/>
  <c r="V52"/>
  <c r="AP55"/>
  <c r="AM55"/>
  <c r="C56"/>
  <c r="D53"/>
  <c r="E53" s="1"/>
  <c r="AN54"/>
  <c r="AO54" s="1"/>
  <c r="AX54" s="1"/>
  <c r="AN55" l="1"/>
  <c r="AO55" s="1"/>
  <c r="AX55" s="1"/>
  <c r="I53"/>
  <c r="V53"/>
  <c r="S55"/>
  <c r="AI13" i="8" s="1"/>
  <c r="AI14" s="1"/>
  <c r="D54" i="11"/>
  <c r="E54" s="1"/>
  <c r="T55"/>
  <c r="AR55"/>
  <c r="AQ56" s="1"/>
  <c r="C57"/>
  <c r="AM56"/>
  <c r="AP56"/>
  <c r="T56" l="1"/>
  <c r="AR56"/>
  <c r="AQ57" s="1"/>
  <c r="D55"/>
  <c r="E55" s="1"/>
  <c r="AN56"/>
  <c r="AO56" s="1"/>
  <c r="AX56" s="1"/>
  <c r="AP57"/>
  <c r="AM57"/>
  <c r="C58"/>
  <c r="S56"/>
  <c r="AJ13" i="8" s="1"/>
  <c r="AJ14" s="1"/>
  <c r="I54" i="11"/>
  <c r="V54"/>
  <c r="AK14" i="8" l="1"/>
  <c r="AR57" i="11"/>
  <c r="AQ58" s="1"/>
  <c r="T57"/>
  <c r="S57"/>
  <c r="AK13" i="8" s="1"/>
  <c r="D56" i="11"/>
  <c r="E56" s="1"/>
  <c r="AN57"/>
  <c r="AO57" s="1"/>
  <c r="AX57" s="1"/>
  <c r="C59"/>
  <c r="AM58"/>
  <c r="AP58"/>
  <c r="I55"/>
  <c r="V55"/>
  <c r="AN58" l="1"/>
  <c r="AO58" s="1"/>
  <c r="AX58" s="1"/>
  <c r="D57"/>
  <c r="E57" s="1"/>
  <c r="T58"/>
  <c r="AR58"/>
  <c r="AQ59" s="1"/>
  <c r="AP59"/>
  <c r="AM59"/>
  <c r="C60"/>
  <c r="S58"/>
  <c r="AL13" i="8" s="1"/>
  <c r="AL14" s="1"/>
  <c r="I56" i="11"/>
  <c r="V56"/>
  <c r="AM60" l="1"/>
  <c r="C61"/>
  <c r="AP60"/>
  <c r="AN59"/>
  <c r="AO59" s="1"/>
  <c r="AX59" s="1"/>
  <c r="D58"/>
  <c r="E58" s="1"/>
  <c r="AR59"/>
  <c r="AQ60" s="1"/>
  <c r="T59"/>
  <c r="I57"/>
  <c r="V57"/>
  <c r="S59"/>
  <c r="AM13" i="8" s="1"/>
  <c r="AM14" s="1"/>
  <c r="S60" i="11" l="1"/>
  <c r="AN13" i="8" s="1"/>
  <c r="AN14" s="1"/>
  <c r="I58" i="11"/>
  <c r="V58"/>
  <c r="D59"/>
  <c r="E59" s="1"/>
  <c r="AP61"/>
  <c r="C62"/>
  <c r="AM61"/>
  <c r="AN60"/>
  <c r="AO60" s="1"/>
  <c r="AX60" s="1"/>
  <c r="T60"/>
  <c r="AR60"/>
  <c r="AQ61" s="1"/>
  <c r="AN61" l="1"/>
  <c r="AO61" s="1"/>
  <c r="AX61" s="1"/>
  <c r="T61"/>
  <c r="AR61"/>
  <c r="AQ62" s="1"/>
  <c r="I59"/>
  <c r="V59"/>
  <c r="AP62"/>
  <c r="AM62"/>
  <c r="D60"/>
  <c r="E60" s="1"/>
  <c r="S61"/>
  <c r="AO13" i="8" s="1"/>
  <c r="AO14" s="1"/>
  <c r="I60" i="11" l="1"/>
  <c r="V60"/>
  <c r="S62"/>
  <c r="AP13" i="8" s="1"/>
  <c r="AP14" s="1"/>
  <c r="D61" i="11"/>
  <c r="E61" s="1"/>
  <c r="AN62"/>
  <c r="AO62" s="1"/>
  <c r="AX62" s="1"/>
  <c r="T62"/>
  <c r="AR62"/>
  <c r="I61" l="1"/>
  <c r="V61"/>
  <c r="D62"/>
  <c r="E62" s="1"/>
  <c r="I62" l="1"/>
  <c r="V62"/>
  <c r="J41" i="6" l="1"/>
  <c r="L41" s="1"/>
  <c r="J43" l="1"/>
  <c r="E5" l="1"/>
  <c r="AM38" i="2" l="1"/>
  <c r="AQ38"/>
  <c r="AU38"/>
  <c r="AL38"/>
  <c r="AP38"/>
  <c r="AT38"/>
  <c r="AO38"/>
  <c r="AS38"/>
  <c r="AN38"/>
  <c r="AR38"/>
  <c r="E6" i="6"/>
  <c r="E7" l="1"/>
  <c r="E8" l="1"/>
  <c r="E9" l="1"/>
  <c r="E16" i="11" l="1"/>
  <c r="C15" i="5" l="1"/>
  <c r="D15" s="1"/>
  <c r="X23" i="11"/>
  <c r="H23"/>
  <c r="E7" i="12" s="1"/>
  <c r="B24" i="11"/>
  <c r="H15" i="4" s="1"/>
  <c r="C15" l="1"/>
  <c r="D15" s="1"/>
  <c r="E15" s="1"/>
  <c r="F15" s="1"/>
  <c r="AA97" i="12"/>
  <c r="H24" i="11"/>
  <c r="F7" i="12" s="1"/>
  <c r="X24" i="11"/>
  <c r="B25"/>
  <c r="I15" i="4" s="1"/>
  <c r="Y23" i="11"/>
  <c r="Z23" s="1"/>
  <c r="AB23" s="1"/>
  <c r="C7" i="5"/>
  <c r="H16" i="2"/>
  <c r="M30" i="12" s="1"/>
  <c r="I40" i="2" l="1"/>
  <c r="N54" i="12" s="1"/>
  <c r="AB97"/>
  <c r="W24" i="11"/>
  <c r="AS23"/>
  <c r="J23"/>
  <c r="E6" i="12" s="1"/>
  <c r="I16" i="2"/>
  <c r="N30" i="12" s="1"/>
  <c r="H40" i="2"/>
  <c r="D16"/>
  <c r="C16"/>
  <c r="E16"/>
  <c r="F16"/>
  <c r="Y24" i="11"/>
  <c r="AA23"/>
  <c r="D7" i="5"/>
  <c r="H25" i="11"/>
  <c r="G7" i="12" s="1"/>
  <c r="X25" i="11"/>
  <c r="B26"/>
  <c r="J15" i="4" s="1"/>
  <c r="J40" i="2" l="1"/>
  <c r="O54" i="12" s="1"/>
  <c r="AC97"/>
  <c r="F40" i="2"/>
  <c r="M54" i="12"/>
  <c r="AK23" i="11"/>
  <c r="K23"/>
  <c r="H15" i="2" s="1"/>
  <c r="J16"/>
  <c r="O30" i="12" s="1"/>
  <c r="Y25" i="11"/>
  <c r="E40" i="2"/>
  <c r="H26" i="11"/>
  <c r="H7" i="12" s="1"/>
  <c r="B27" i="11"/>
  <c r="K15" i="4" s="1"/>
  <c r="X26" i="11"/>
  <c r="K40" i="2" l="1"/>
  <c r="P54" i="12" s="1"/>
  <c r="AD97"/>
  <c r="F15" i="2"/>
  <c r="F18" s="1"/>
  <c r="M29" i="12"/>
  <c r="M32" s="1"/>
  <c r="C15" i="2"/>
  <c r="L43" i="6" s="1"/>
  <c r="E15" i="2"/>
  <c r="E18" s="1"/>
  <c r="D15"/>
  <c r="D18" s="1"/>
  <c r="K16"/>
  <c r="P30" i="12" s="1"/>
  <c r="X27" i="11"/>
  <c r="H27"/>
  <c r="I7" i="12" s="1"/>
  <c r="B28" i="11"/>
  <c r="L15" i="4" s="1"/>
  <c r="Y26" i="11"/>
  <c r="D40" i="2"/>
  <c r="AT23" i="11"/>
  <c r="E15" i="12" s="1"/>
  <c r="L40" i="2" l="1"/>
  <c r="Q54" i="12" s="1"/>
  <c r="AE97"/>
  <c r="L16" i="2"/>
  <c r="Q30" i="12" s="1"/>
  <c r="C40" i="2"/>
  <c r="H28" i="11"/>
  <c r="X28"/>
  <c r="B29"/>
  <c r="Z24"/>
  <c r="AU23"/>
  <c r="Y27"/>
  <c r="AB24" l="1"/>
  <c r="AS24" s="1"/>
  <c r="AA24"/>
  <c r="H29"/>
  <c r="X29"/>
  <c r="B30"/>
  <c r="Y28"/>
  <c r="W25" l="1"/>
  <c r="Y29"/>
  <c r="X30"/>
  <c r="H30"/>
  <c r="B31"/>
  <c r="H31" l="1"/>
  <c r="X31"/>
  <c r="B32"/>
  <c r="Y30"/>
  <c r="X32" l="1"/>
  <c r="H32"/>
  <c r="AE32"/>
  <c r="B33"/>
  <c r="Y31"/>
  <c r="AF32" l="1"/>
  <c r="H33"/>
  <c r="X33"/>
  <c r="B34"/>
  <c r="Y32"/>
  <c r="X34" l="1"/>
  <c r="H34"/>
  <c r="B35"/>
  <c r="Y33"/>
  <c r="Y34" l="1"/>
  <c r="X35"/>
  <c r="H35"/>
  <c r="B36"/>
  <c r="Y35" l="1"/>
  <c r="H36"/>
  <c r="X36"/>
  <c r="B37"/>
  <c r="Y36" l="1"/>
  <c r="X37"/>
  <c r="H37"/>
  <c r="B38"/>
  <c r="Y37" l="1"/>
  <c r="X38"/>
  <c r="H38"/>
  <c r="B39"/>
  <c r="X39" l="1"/>
  <c r="H39"/>
  <c r="B40"/>
  <c r="Y38"/>
  <c r="H40" l="1"/>
  <c r="X40"/>
  <c r="B41"/>
  <c r="Y39"/>
  <c r="Y40" l="1"/>
  <c r="X41"/>
  <c r="H41"/>
  <c r="B42"/>
  <c r="X42" l="1"/>
  <c r="H42"/>
  <c r="AE42"/>
  <c r="B43"/>
  <c r="Y41"/>
  <c r="X43" l="1"/>
  <c r="H43"/>
  <c r="B44"/>
  <c r="Y42"/>
  <c r="AF42"/>
  <c r="H44" l="1"/>
  <c r="X44"/>
  <c r="B45"/>
  <c r="Y43"/>
  <c r="H45" l="1"/>
  <c r="X45"/>
  <c r="B46"/>
  <c r="Y44"/>
  <c r="Y45" l="1"/>
  <c r="H46"/>
  <c r="X46"/>
  <c r="B47"/>
  <c r="Y46" l="1"/>
  <c r="H47"/>
  <c r="X47"/>
  <c r="B48"/>
  <c r="H48" l="1"/>
  <c r="X48"/>
  <c r="B49"/>
  <c r="Y47"/>
  <c r="H49" l="1"/>
  <c r="X49"/>
  <c r="B50"/>
  <c r="Y48"/>
  <c r="Y49" l="1"/>
  <c r="H50"/>
  <c r="X50"/>
  <c r="B51"/>
  <c r="X51" l="1"/>
  <c r="H51"/>
  <c r="B52"/>
  <c r="Y50"/>
  <c r="AE52" l="1"/>
  <c r="H52"/>
  <c r="X52"/>
  <c r="B53"/>
  <c r="Y51"/>
  <c r="AF52" l="1"/>
  <c r="Y52"/>
  <c r="H53"/>
  <c r="X53"/>
  <c r="B54"/>
  <c r="Y53" l="1"/>
  <c r="H54"/>
  <c r="X54"/>
  <c r="B55"/>
  <c r="H55" l="1"/>
  <c r="X55"/>
  <c r="B56"/>
  <c r="Y54"/>
  <c r="H56" l="1"/>
  <c r="B57"/>
  <c r="X56"/>
  <c r="Y55"/>
  <c r="H57" l="1"/>
  <c r="X57"/>
  <c r="B58"/>
  <c r="Y56"/>
  <c r="H58" l="1"/>
  <c r="X58"/>
  <c r="B59"/>
  <c r="Y57"/>
  <c r="H59" l="1"/>
  <c r="B60"/>
  <c r="X59"/>
  <c r="Y58"/>
  <c r="H60" l="1"/>
  <c r="X60"/>
  <c r="B61"/>
  <c r="Y59"/>
  <c r="Y60" l="1"/>
  <c r="H61"/>
  <c r="B62"/>
  <c r="X61"/>
  <c r="AE62" l="1"/>
  <c r="H62"/>
  <c r="B63"/>
  <c r="X62"/>
  <c r="Y61"/>
  <c r="Y62" l="1"/>
  <c r="AF62"/>
  <c r="E11" i="7"/>
  <c r="J53"/>
  <c r="E53"/>
  <c r="O53"/>
  <c r="O13"/>
  <c r="J11"/>
  <c r="C61"/>
  <c r="E61" s="1"/>
  <c r="M61"/>
  <c r="O61" s="1"/>
  <c r="M60"/>
  <c r="O60" s="1"/>
  <c r="C60"/>
  <c r="O32"/>
  <c r="O56" s="1"/>
  <c r="H61"/>
  <c r="J61" s="1"/>
  <c r="E32"/>
  <c r="H60"/>
  <c r="J60" s="1"/>
  <c r="F14" i="6"/>
  <c r="F4" s="1"/>
  <c r="G4"/>
  <c r="J32" i="7"/>
  <c r="J56" s="1"/>
  <c r="C3" i="9"/>
  <c r="L13" i="6" l="1"/>
  <c r="E56" i="7"/>
  <c r="C62"/>
  <c r="H37" i="2"/>
  <c r="M51" i="12" s="1"/>
  <c r="H6" i="4"/>
  <c r="AA92" i="12" s="1"/>
  <c r="H5" i="4"/>
  <c r="AA91" i="12" s="1"/>
  <c r="E60" i="7"/>
  <c r="E62" s="1"/>
  <c r="J62"/>
  <c r="L16" i="6" s="1"/>
  <c r="O62" i="7"/>
  <c r="H62"/>
  <c r="M62"/>
  <c r="D18" i="9"/>
  <c r="F3"/>
  <c r="C10" i="3" s="1"/>
  <c r="H10" s="1"/>
  <c r="D11" i="9"/>
  <c r="J4" i="6"/>
  <c r="H4" i="4" s="1"/>
  <c r="F7" i="6"/>
  <c r="F9"/>
  <c r="G7"/>
  <c r="G8"/>
  <c r="G6"/>
  <c r="F5"/>
  <c r="G9"/>
  <c r="G5"/>
  <c r="F8"/>
  <c r="F6"/>
  <c r="F10"/>
  <c r="G10"/>
  <c r="C4" i="4" l="1"/>
  <c r="AA90" i="12"/>
  <c r="C37" i="2"/>
  <c r="D37" s="1"/>
  <c r="E37" s="1"/>
  <c r="F37" s="1"/>
  <c r="F4" i="9"/>
  <c r="D3" i="11"/>
  <c r="C31" i="3"/>
  <c r="H38" i="2"/>
  <c r="M52" i="12" s="1"/>
  <c r="M53" s="1"/>
  <c r="M55" s="1"/>
  <c r="H9" i="4"/>
  <c r="AA95" i="12" s="1"/>
  <c r="C8" i="10"/>
  <c r="H8" s="1"/>
  <c r="C29" i="3"/>
  <c r="D37" i="9"/>
  <c r="D45"/>
  <c r="D17"/>
  <c r="D25"/>
  <c r="D61"/>
  <c r="D29"/>
  <c r="D21"/>
  <c r="D57"/>
  <c r="D49"/>
  <c r="D53"/>
  <c r="D33"/>
  <c r="D41"/>
  <c r="D5" i="11" l="1"/>
  <c r="B3" i="12"/>
  <c r="C38" i="2"/>
  <c r="D38" s="1"/>
  <c r="E38" s="1"/>
  <c r="F38" s="1"/>
  <c r="F39" s="1"/>
  <c r="H6"/>
  <c r="M23" i="12" s="1"/>
  <c r="M25" s="1"/>
  <c r="D74" i="9"/>
  <c r="H29" i="3"/>
  <c r="T70" i="12" s="1"/>
  <c r="D78" i="9"/>
  <c r="D70"/>
  <c r="D66"/>
  <c r="D14"/>
  <c r="D19"/>
  <c r="D6" i="11" l="1"/>
  <c r="B5" i="12"/>
  <c r="O22" i="11"/>
  <c r="F14"/>
  <c r="AW23"/>
  <c r="F13"/>
  <c r="F6" i="10"/>
  <c r="F41" i="2"/>
  <c r="D39"/>
  <c r="C39"/>
  <c r="E39"/>
  <c r="F6"/>
  <c r="F8" s="1"/>
  <c r="F20" s="1"/>
  <c r="F5" i="3" s="1"/>
  <c r="C6" i="2"/>
  <c r="C8" s="1"/>
  <c r="D6"/>
  <c r="D8" s="1"/>
  <c r="D20" s="1"/>
  <c r="D5" i="3" s="1"/>
  <c r="E6" i="2"/>
  <c r="E8" s="1"/>
  <c r="E20" s="1"/>
  <c r="E5" i="3" s="1"/>
  <c r="D22" i="9"/>
  <c r="D23" s="1"/>
  <c r="O23" i="11" l="1"/>
  <c r="B6" i="12"/>
  <c r="L17" i="6"/>
  <c r="H17" i="2" s="1"/>
  <c r="C17" s="1"/>
  <c r="C18" s="1"/>
  <c r="H18" s="1"/>
  <c r="D8" i="11"/>
  <c r="D6" i="10"/>
  <c r="D41" i="2"/>
  <c r="E6" i="10"/>
  <c r="E41" i="2"/>
  <c r="C6" i="10"/>
  <c r="C41" i="2"/>
  <c r="H39"/>
  <c r="H31" i="3"/>
  <c r="C32"/>
  <c r="F21" i="4"/>
  <c r="H21" s="1"/>
  <c r="H8" i="2"/>
  <c r="C21" i="4"/>
  <c r="C18" i="3" s="1"/>
  <c r="D21" i="4"/>
  <c r="E21"/>
  <c r="D26" i="9"/>
  <c r="D27" s="1"/>
  <c r="H20" i="2" l="1"/>
  <c r="H5" i="3" s="1"/>
  <c r="C20" i="2"/>
  <c r="C5" i="3" s="1"/>
  <c r="H32"/>
  <c r="T71" i="12"/>
  <c r="T72" s="1"/>
  <c r="J6" i="6"/>
  <c r="AV22" i="11"/>
  <c r="B8" i="12"/>
  <c r="C3" i="8"/>
  <c r="U21" i="11"/>
  <c r="I3"/>
  <c r="H6" i="10"/>
  <c r="H41" i="2"/>
  <c r="D67" i="9"/>
  <c r="C24" i="2" s="1"/>
  <c r="C25" s="1"/>
  <c r="F18" i="3"/>
  <c r="D11"/>
  <c r="C11"/>
  <c r="D15"/>
  <c r="F11"/>
  <c r="F15"/>
  <c r="H15" s="1"/>
  <c r="E11"/>
  <c r="D18"/>
  <c r="E18"/>
  <c r="L44" i="6"/>
  <c r="J8" s="1"/>
  <c r="D8" i="3"/>
  <c r="D30" i="9"/>
  <c r="D31" s="1"/>
  <c r="D68"/>
  <c r="C8" i="3"/>
  <c r="E8"/>
  <c r="F8"/>
  <c r="C7" i="6" l="1"/>
  <c r="C9" s="1"/>
  <c r="AV23" i="11"/>
  <c r="M24"/>
  <c r="F9" i="12" s="1"/>
  <c r="C9" i="8"/>
  <c r="C12"/>
  <c r="C39" i="3"/>
  <c r="H39" s="1"/>
  <c r="T77" i="12" s="1"/>
  <c r="T78" s="1"/>
  <c r="C28" i="2"/>
  <c r="C30" s="1"/>
  <c r="C32" s="1"/>
  <c r="M42" i="12"/>
  <c r="M44" s="1"/>
  <c r="H30" i="2"/>
  <c r="U22" i="11"/>
  <c r="L23"/>
  <c r="H18" i="3"/>
  <c r="E15"/>
  <c r="F17"/>
  <c r="E17"/>
  <c r="D22"/>
  <c r="C22"/>
  <c r="C17"/>
  <c r="D17"/>
  <c r="I15"/>
  <c r="H11"/>
  <c r="F22"/>
  <c r="E22"/>
  <c r="D34" i="9"/>
  <c r="D35" s="1"/>
  <c r="L24" i="11" l="1"/>
  <c r="E10" i="12"/>
  <c r="C31" i="4"/>
  <c r="C49" s="1"/>
  <c r="AV24" i="11"/>
  <c r="M25"/>
  <c r="G9" i="12" s="1"/>
  <c r="N23" i="11"/>
  <c r="P23" s="1"/>
  <c r="E12" i="12" s="1"/>
  <c r="C12" i="5"/>
  <c r="D9" i="8"/>
  <c r="H49" i="4"/>
  <c r="AA115" i="12" s="1"/>
  <c r="D10" i="8"/>
  <c r="C42" i="3"/>
  <c r="H17"/>
  <c r="H22"/>
  <c r="D38" i="9"/>
  <c r="D71" s="1"/>
  <c r="C4" i="10"/>
  <c r="D12" i="8" l="1"/>
  <c r="I31" i="4"/>
  <c r="AB106" i="12" s="1"/>
  <c r="AV25" i="11"/>
  <c r="M26"/>
  <c r="H9" i="12" s="1"/>
  <c r="I23" i="2"/>
  <c r="I14" i="3"/>
  <c r="U66" i="12" s="1"/>
  <c r="C19" i="5"/>
  <c r="C18" s="1"/>
  <c r="D12"/>
  <c r="D31" i="4"/>
  <c r="E31" s="1"/>
  <c r="F31" s="1"/>
  <c r="H31" s="1"/>
  <c r="AA106" i="12" s="1"/>
  <c r="D39" i="9"/>
  <c r="D42" s="1"/>
  <c r="C9" i="10"/>
  <c r="D24" i="2"/>
  <c r="D25" s="1"/>
  <c r="D32" s="1"/>
  <c r="D72" i="9"/>
  <c r="E10" i="8" l="1"/>
  <c r="E9"/>
  <c r="I49" i="4"/>
  <c r="AB115" i="12" s="1"/>
  <c r="AV26" i="11"/>
  <c r="M27"/>
  <c r="I9" i="12" s="1"/>
  <c r="D49" i="4"/>
  <c r="E49" s="1"/>
  <c r="F49" s="1"/>
  <c r="N37" i="12"/>
  <c r="I8" i="3"/>
  <c r="U64" i="12" s="1"/>
  <c r="D42" i="3"/>
  <c r="D43" i="9"/>
  <c r="C16" i="10"/>
  <c r="C17" s="1"/>
  <c r="C12"/>
  <c r="E12" i="8" l="1"/>
  <c r="J31" i="4"/>
  <c r="AC106" i="12" s="1"/>
  <c r="J23" i="2"/>
  <c r="J14" i="3"/>
  <c r="V66" i="12" s="1"/>
  <c r="M28" i="11"/>
  <c r="AV27"/>
  <c r="D4" i="10"/>
  <c r="C30" i="4"/>
  <c r="C33" i="2"/>
  <c r="I17" i="3"/>
  <c r="I22"/>
  <c r="C14" i="10"/>
  <c r="D11" s="1"/>
  <c r="D46" i="9"/>
  <c r="D47" s="1"/>
  <c r="F9" i="8" l="1"/>
  <c r="K31" i="4" s="1"/>
  <c r="AD106" i="12" s="1"/>
  <c r="J49" i="4"/>
  <c r="AC115" i="12" s="1"/>
  <c r="F10" i="8"/>
  <c r="F11"/>
  <c r="K40" i="3" s="1"/>
  <c r="M29" i="11"/>
  <c r="AV28"/>
  <c r="O37" i="12"/>
  <c r="J8" i="3"/>
  <c r="V64" i="12" s="1"/>
  <c r="D50" i="9"/>
  <c r="D51" s="1"/>
  <c r="C7" i="3"/>
  <c r="C34" i="2"/>
  <c r="D9" i="10"/>
  <c r="F12" i="8" l="1"/>
  <c r="G10" s="1"/>
  <c r="K49" i="4"/>
  <c r="AD115" i="12" s="1"/>
  <c r="G9" i="8"/>
  <c r="L31" i="4" s="1"/>
  <c r="AE106" i="12" s="1"/>
  <c r="M30" i="11"/>
  <c r="AV29"/>
  <c r="K23" i="2"/>
  <c r="K14" i="3"/>
  <c r="W66" i="12" s="1"/>
  <c r="D75" i="9"/>
  <c r="E24" i="2" s="1"/>
  <c r="E25" s="1"/>
  <c r="E32" s="1"/>
  <c r="D76" i="9"/>
  <c r="D54"/>
  <c r="D55" s="1"/>
  <c r="D12" i="10"/>
  <c r="D13"/>
  <c r="C48" i="4"/>
  <c r="G11" i="8" l="1"/>
  <c r="L40" i="3" s="1"/>
  <c r="AV30" i="11"/>
  <c r="M31"/>
  <c r="L23" i="2"/>
  <c r="L14" i="3"/>
  <c r="X66" i="12" s="1"/>
  <c r="G12" i="8"/>
  <c r="P37" i="12"/>
  <c r="K8" i="3"/>
  <c r="W64" i="12" s="1"/>
  <c r="C26" i="3"/>
  <c r="D58" i="9"/>
  <c r="D59" s="1"/>
  <c r="D14" i="10"/>
  <c r="E11" s="1"/>
  <c r="E42" i="3"/>
  <c r="D16" i="10"/>
  <c r="D17" s="1"/>
  <c r="Q37" i="12" l="1"/>
  <c r="L8" i="3"/>
  <c r="X64" i="12" s="1"/>
  <c r="H9" i="8"/>
  <c r="H10"/>
  <c r="H11"/>
  <c r="H12" s="1"/>
  <c r="L49" i="4"/>
  <c r="AE115" i="12" s="1"/>
  <c r="AV31" i="11"/>
  <c r="M32"/>
  <c r="C46" i="3"/>
  <c r="C48" s="1"/>
  <c r="D47" s="1"/>
  <c r="D62" i="9"/>
  <c r="E4" i="10"/>
  <c r="J17" i="3"/>
  <c r="D33" i="2"/>
  <c r="D30" i="4"/>
  <c r="J22" i="3"/>
  <c r="I10" i="8" l="1"/>
  <c r="I9"/>
  <c r="I11"/>
  <c r="I12" s="1"/>
  <c r="AV32" i="11"/>
  <c r="M33"/>
  <c r="D79" i="9"/>
  <c r="D15"/>
  <c r="D63"/>
  <c r="D7" i="3"/>
  <c r="D34" i="2"/>
  <c r="E9" i="10"/>
  <c r="J10" i="8" l="1"/>
  <c r="J9"/>
  <c r="J11"/>
  <c r="J12" s="1"/>
  <c r="AV33" i="11"/>
  <c r="M34"/>
  <c r="D48" i="4"/>
  <c r="E12" i="10"/>
  <c r="E13"/>
  <c r="F24" i="2"/>
  <c r="F25" s="1"/>
  <c r="F32" s="1"/>
  <c r="D80" i="9"/>
  <c r="E11"/>
  <c r="E18"/>
  <c r="D13"/>
  <c r="K11" i="8" l="1"/>
  <c r="K12" s="1"/>
  <c r="K9"/>
  <c r="K10"/>
  <c r="M35" i="11"/>
  <c r="AV34"/>
  <c r="D26" i="3"/>
  <c r="D46" s="1"/>
  <c r="D48" s="1"/>
  <c r="E47" s="1"/>
  <c r="F42"/>
  <c r="H42"/>
  <c r="E14" i="10"/>
  <c r="F11" s="1"/>
  <c r="H32" i="2"/>
  <c r="E49" i="9"/>
  <c r="E33"/>
  <c r="E61"/>
  <c r="E17"/>
  <c r="E45"/>
  <c r="E37"/>
  <c r="E41"/>
  <c r="E25"/>
  <c r="E29"/>
  <c r="E21"/>
  <c r="E57"/>
  <c r="E53"/>
  <c r="E16" i="10"/>
  <c r="E17" s="1"/>
  <c r="M36" i="11" l="1"/>
  <c r="AV35"/>
  <c r="L11" i="8"/>
  <c r="L12" s="1"/>
  <c r="L9"/>
  <c r="L10"/>
  <c r="E74" i="9"/>
  <c r="E14"/>
  <c r="E66"/>
  <c r="E19"/>
  <c r="K22" i="3"/>
  <c r="E78" i="9"/>
  <c r="F4" i="10"/>
  <c r="E33" i="2"/>
  <c r="E30" i="4"/>
  <c r="K17" i="3"/>
  <c r="E70" i="9"/>
  <c r="M37" i="11" l="1"/>
  <c r="AV36"/>
  <c r="M9" i="8"/>
  <c r="M10"/>
  <c r="M11"/>
  <c r="M12" s="1"/>
  <c r="E22" i="9"/>
  <c r="F9" i="10"/>
  <c r="H9" s="1"/>
  <c r="H4"/>
  <c r="E7" i="3"/>
  <c r="E34" i="2"/>
  <c r="N9" i="8" l="1"/>
  <c r="N10"/>
  <c r="N11"/>
  <c r="N12" s="1"/>
  <c r="M38" i="11"/>
  <c r="AV37"/>
  <c r="E48" i="4"/>
  <c r="F12" i="10"/>
  <c r="F13"/>
  <c r="H13" s="1"/>
  <c r="E23" i="9"/>
  <c r="M39" i="11" l="1"/>
  <c r="AV38"/>
  <c r="O11" i="8"/>
  <c r="O12" s="1"/>
  <c r="O9"/>
  <c r="O10"/>
  <c r="E26" i="3"/>
  <c r="E46" s="1"/>
  <c r="E48" s="1"/>
  <c r="E26" i="9"/>
  <c r="E27" s="1"/>
  <c r="H16" i="10"/>
  <c r="H17" s="1"/>
  <c r="H12"/>
  <c r="H14" s="1"/>
  <c r="I11" s="1"/>
  <c r="F14"/>
  <c r="F16"/>
  <c r="F17" s="1"/>
  <c r="P11" i="8" l="1"/>
  <c r="P12" s="1"/>
  <c r="P9"/>
  <c r="M40" i="11"/>
  <c r="AV39"/>
  <c r="P10" i="8"/>
  <c r="Q23" i="11"/>
  <c r="R23" s="1"/>
  <c r="H33" i="2"/>
  <c r="M47" i="12" s="1"/>
  <c r="L17" i="3"/>
  <c r="F47"/>
  <c r="L22"/>
  <c r="F33" i="2"/>
  <c r="F30" i="4"/>
  <c r="E67" i="9"/>
  <c r="E30"/>
  <c r="E68"/>
  <c r="Q9" i="8" l="1"/>
  <c r="Q10"/>
  <c r="Q11"/>
  <c r="Q12" s="1"/>
  <c r="AV40" i="11"/>
  <c r="M41"/>
  <c r="AJ23"/>
  <c r="AL23" s="1"/>
  <c r="H7" i="3"/>
  <c r="U23" i="11"/>
  <c r="H30" i="4"/>
  <c r="C35"/>
  <c r="C37" s="1"/>
  <c r="C42"/>
  <c r="C44" s="1"/>
  <c r="F7" i="3"/>
  <c r="F34" i="2"/>
  <c r="E31" i="9"/>
  <c r="R11" i="8" l="1"/>
  <c r="R10"/>
  <c r="R9"/>
  <c r="M42" i="11"/>
  <c r="AV41"/>
  <c r="E14" i="12"/>
  <c r="L25" i="11"/>
  <c r="I13" i="3"/>
  <c r="H20" i="4"/>
  <c r="AA102" i="12" s="1"/>
  <c r="F24" i="11"/>
  <c r="F4" i="12" s="1"/>
  <c r="AC24" i="11"/>
  <c r="E34" i="9"/>
  <c r="H34" i="2"/>
  <c r="F48" i="4"/>
  <c r="AV42" i="11" l="1"/>
  <c r="M43"/>
  <c r="R12" i="8"/>
  <c r="C20" i="4"/>
  <c r="F20" s="1"/>
  <c r="T62" i="12"/>
  <c r="T67" s="1"/>
  <c r="T82" s="1"/>
  <c r="T84" s="1"/>
  <c r="U83" s="1"/>
  <c r="AG24" i="11"/>
  <c r="AI24" s="1"/>
  <c r="G24"/>
  <c r="I6" i="2"/>
  <c r="N23" i="12" s="1"/>
  <c r="N25" s="1"/>
  <c r="H48" i="4"/>
  <c r="AA114" i="12" s="1"/>
  <c r="F26" i="3"/>
  <c r="F46" s="1"/>
  <c r="F48" s="1"/>
  <c r="H48" s="1"/>
  <c r="I47" s="1"/>
  <c r="E35" i="9"/>
  <c r="S10" i="8" l="1"/>
  <c r="S9"/>
  <c r="S11"/>
  <c r="S12" s="1"/>
  <c r="M44" i="11"/>
  <c r="AV43"/>
  <c r="E20" i="4"/>
  <c r="E25" s="1"/>
  <c r="C25"/>
  <c r="C39" s="1"/>
  <c r="D20"/>
  <c r="D25" s="1"/>
  <c r="H26" i="3"/>
  <c r="H46" s="1"/>
  <c r="I8" i="2"/>
  <c r="AH24" i="11"/>
  <c r="J24"/>
  <c r="F6" i="12" s="1"/>
  <c r="AD25" i="11"/>
  <c r="E38" i="9"/>
  <c r="E39" s="1"/>
  <c r="AV44" i="11" l="1"/>
  <c r="M45"/>
  <c r="T11" i="8"/>
  <c r="T10"/>
  <c r="T9"/>
  <c r="T12"/>
  <c r="I21" i="4"/>
  <c r="AK24" i="11"/>
  <c r="K24"/>
  <c r="N24" s="1"/>
  <c r="P24" s="1"/>
  <c r="F25" i="4"/>
  <c r="E71" i="9"/>
  <c r="E42"/>
  <c r="E72"/>
  <c r="M46" i="11" l="1"/>
  <c r="AV45"/>
  <c r="U11" i="8"/>
  <c r="U10"/>
  <c r="U9"/>
  <c r="U12" s="1"/>
  <c r="F12" i="12"/>
  <c r="I18" i="3"/>
  <c r="I15" i="2"/>
  <c r="N29" i="12" s="1"/>
  <c r="AT24" i="11"/>
  <c r="F15" i="12" s="1"/>
  <c r="H25" i="4"/>
  <c r="AA103" i="12" s="1"/>
  <c r="D35" i="4"/>
  <c r="D37" s="1"/>
  <c r="D39" s="1"/>
  <c r="D42"/>
  <c r="D44" s="1"/>
  <c r="E43" i="9"/>
  <c r="V11" i="8" l="1"/>
  <c r="V12" s="1"/>
  <c r="V10"/>
  <c r="V9"/>
  <c r="M47" i="11"/>
  <c r="AV46"/>
  <c r="I18" i="2"/>
  <c r="I20" s="1"/>
  <c r="I5" i="3" s="1"/>
  <c r="J15"/>
  <c r="I11"/>
  <c r="Z25" i="11"/>
  <c r="AW24"/>
  <c r="AU24"/>
  <c r="E46" i="9"/>
  <c r="W11" i="8" l="1"/>
  <c r="W12" s="1"/>
  <c r="W9"/>
  <c r="W10"/>
  <c r="M48" i="11"/>
  <c r="AV47"/>
  <c r="W26"/>
  <c r="AB25"/>
  <c r="AS25" s="1"/>
  <c r="AA25"/>
  <c r="E47" i="9"/>
  <c r="M49" i="11" l="1"/>
  <c r="AV48"/>
  <c r="X11" i="8"/>
  <c r="X9"/>
  <c r="X12"/>
  <c r="X10"/>
  <c r="E50" i="9"/>
  <c r="Y11" i="8" l="1"/>
  <c r="Y12" s="1"/>
  <c r="Y10"/>
  <c r="Y9"/>
  <c r="M50" i="11"/>
  <c r="AV49"/>
  <c r="E75" i="9"/>
  <c r="E51"/>
  <c r="M51" i="11" l="1"/>
  <c r="AV50"/>
  <c r="Z9" i="8"/>
  <c r="Z11"/>
  <c r="Z12"/>
  <c r="Z10"/>
  <c r="E54" i="9"/>
  <c r="E55" s="1"/>
  <c r="E76"/>
  <c r="AA9" i="8" l="1"/>
  <c r="AA10"/>
  <c r="AA11"/>
  <c r="AA12" s="1"/>
  <c r="M52" i="11"/>
  <c r="AV51"/>
  <c r="E58" i="9"/>
  <c r="E42" i="4"/>
  <c r="E44" s="1"/>
  <c r="E35"/>
  <c r="E37" s="1"/>
  <c r="E39" s="1"/>
  <c r="M53" i="11" l="1"/>
  <c r="AV52"/>
  <c r="AB11" i="8"/>
  <c r="AB12" s="1"/>
  <c r="AB10"/>
  <c r="AB9"/>
  <c r="E59" i="9"/>
  <c r="AC9" i="8" l="1"/>
  <c r="AC11"/>
  <c r="AC12" s="1"/>
  <c r="AC10"/>
  <c r="AV53" i="11"/>
  <c r="M54"/>
  <c r="E62" i="9"/>
  <c r="AD11" i="8" l="1"/>
  <c r="AD12" s="1"/>
  <c r="AD9"/>
  <c r="AD10"/>
  <c r="M55" i="11"/>
  <c r="AV54"/>
  <c r="E79" i="9"/>
  <c r="E15"/>
  <c r="E63"/>
  <c r="AE11" i="8" l="1"/>
  <c r="AE12" s="1"/>
  <c r="AE9"/>
  <c r="AE10"/>
  <c r="M56" i="11"/>
  <c r="AV55"/>
  <c r="E13" i="9"/>
  <c r="F11"/>
  <c r="E80"/>
  <c r="F18"/>
  <c r="I42" i="3"/>
  <c r="I24" i="2"/>
  <c r="I25" s="1"/>
  <c r="I32" s="1"/>
  <c r="M57" i="11" l="1"/>
  <c r="AV56"/>
  <c r="AF11" i="8"/>
  <c r="AF9"/>
  <c r="AF12"/>
  <c r="AF10"/>
  <c r="F21" i="9"/>
  <c r="F57"/>
  <c r="F17"/>
  <c r="F61"/>
  <c r="F25"/>
  <c r="F33"/>
  <c r="F45"/>
  <c r="F29"/>
  <c r="F49"/>
  <c r="F37"/>
  <c r="F41"/>
  <c r="F53"/>
  <c r="F42" i="4"/>
  <c r="F35"/>
  <c r="AG9" i="8" l="1"/>
  <c r="AG10"/>
  <c r="AG11"/>
  <c r="AG12" s="1"/>
  <c r="M58" i="11"/>
  <c r="AV57"/>
  <c r="F74" i="9"/>
  <c r="H42" i="4"/>
  <c r="F44"/>
  <c r="H44" s="1"/>
  <c r="F66" i="9"/>
  <c r="F14"/>
  <c r="F19"/>
  <c r="H35" i="4"/>
  <c r="H37" s="1"/>
  <c r="F37"/>
  <c r="F39" s="1"/>
  <c r="F78" i="9"/>
  <c r="F70"/>
  <c r="M59" i="11" l="1"/>
  <c r="AV58"/>
  <c r="AH10" i="8"/>
  <c r="AH9"/>
  <c r="AH11"/>
  <c r="AH12" s="1"/>
  <c r="H39" i="4"/>
  <c r="AA109" i="12" s="1"/>
  <c r="AA107"/>
  <c r="F22" i="9"/>
  <c r="F23" s="1"/>
  <c r="AI9" i="8" l="1"/>
  <c r="AI10"/>
  <c r="AI11"/>
  <c r="AI12" s="1"/>
  <c r="M60" i="11"/>
  <c r="AV59"/>
  <c r="F26" i="9"/>
  <c r="F27" s="1"/>
  <c r="M61" i="11" l="1"/>
  <c r="AV60"/>
  <c r="AJ9" i="8"/>
  <c r="AJ11"/>
  <c r="AJ12" s="1"/>
  <c r="AJ10"/>
  <c r="F30" i="9"/>
  <c r="F68"/>
  <c r="F67"/>
  <c r="AV61" i="11" l="1"/>
  <c r="AV62" s="1"/>
  <c r="M62"/>
  <c r="AK10" i="8"/>
  <c r="AK11"/>
  <c r="AK12" s="1"/>
  <c r="AK9"/>
  <c r="F31" i="9"/>
  <c r="AL9" i="8" l="1"/>
  <c r="AL11"/>
  <c r="AL12" s="1"/>
  <c r="AL10"/>
  <c r="F34" i="9"/>
  <c r="AM9" i="8" l="1"/>
  <c r="AM11"/>
  <c r="AM12" s="1"/>
  <c r="AM10"/>
  <c r="F35" i="9"/>
  <c r="AN9" i="8" l="1"/>
  <c r="AN11"/>
  <c r="AN12" s="1"/>
  <c r="AN10"/>
  <c r="F38" i="9"/>
  <c r="AO9" i="8" l="1"/>
  <c r="AO10"/>
  <c r="AO11"/>
  <c r="AO12" s="1"/>
  <c r="F71" i="9"/>
  <c r="F39"/>
  <c r="AP9" i="8" l="1"/>
  <c r="AP10"/>
  <c r="AP11"/>
  <c r="AP12" s="1"/>
  <c r="F72" i="9"/>
  <c r="F42"/>
  <c r="F43" l="1"/>
  <c r="F46" l="1"/>
  <c r="F47" l="1"/>
  <c r="F50" l="1"/>
  <c r="F51" s="1"/>
  <c r="F54" l="1"/>
  <c r="F76"/>
  <c r="F75"/>
  <c r="F55" l="1"/>
  <c r="F58" l="1"/>
  <c r="F59" l="1"/>
  <c r="F62" l="1"/>
  <c r="F79" l="1"/>
  <c r="F15"/>
  <c r="F63"/>
  <c r="J24" i="2" l="1"/>
  <c r="J25" s="1"/>
  <c r="J42" i="3"/>
  <c r="F80" i="9"/>
  <c r="F13"/>
  <c r="I35" i="4"/>
  <c r="I42"/>
  <c r="I44" s="1"/>
  <c r="G11" i="9"/>
  <c r="G18"/>
  <c r="G49" l="1"/>
  <c r="G37"/>
  <c r="G61"/>
  <c r="G33"/>
  <c r="G25"/>
  <c r="G17"/>
  <c r="G57"/>
  <c r="G29"/>
  <c r="G21"/>
  <c r="G45"/>
  <c r="G53"/>
  <c r="G41"/>
  <c r="G66" l="1"/>
  <c r="G14"/>
  <c r="G19"/>
  <c r="G78"/>
  <c r="G70"/>
  <c r="G74"/>
  <c r="G22" l="1"/>
  <c r="G23" l="1"/>
  <c r="G26" l="1"/>
  <c r="G67" l="1"/>
  <c r="G27"/>
  <c r="G68" l="1"/>
  <c r="G30"/>
  <c r="G31" l="1"/>
  <c r="G34" l="1"/>
  <c r="G35" l="1"/>
  <c r="G38" l="1"/>
  <c r="G71" l="1"/>
  <c r="G39"/>
  <c r="G42" l="1"/>
  <c r="G43" s="1"/>
  <c r="G72"/>
  <c r="G46" l="1"/>
  <c r="G47" l="1"/>
  <c r="G50" l="1"/>
  <c r="G75" l="1"/>
  <c r="G51"/>
  <c r="G76" l="1"/>
  <c r="G54"/>
  <c r="G55" l="1"/>
  <c r="G58" l="1"/>
  <c r="G59" l="1"/>
  <c r="G62" l="1"/>
  <c r="G79" l="1"/>
  <c r="G15"/>
  <c r="G63"/>
  <c r="J35" i="4" l="1"/>
  <c r="J42"/>
  <c r="J44" s="1"/>
  <c r="H11" i="9"/>
  <c r="G80"/>
  <c r="G13"/>
  <c r="H18"/>
  <c r="K24" i="2"/>
  <c r="K25" s="1"/>
  <c r="K42" i="3"/>
  <c r="H45" i="9" l="1"/>
  <c r="H57"/>
  <c r="H41"/>
  <c r="H29"/>
  <c r="H25"/>
  <c r="H49"/>
  <c r="H53"/>
  <c r="H33"/>
  <c r="H61"/>
  <c r="H17"/>
  <c r="H37"/>
  <c r="H21"/>
  <c r="H66" l="1"/>
  <c r="H14"/>
  <c r="H19"/>
  <c r="H78"/>
  <c r="H74"/>
  <c r="H70"/>
  <c r="H22" l="1"/>
  <c r="H23" l="1"/>
  <c r="H26" l="1"/>
  <c r="H67" l="1"/>
  <c r="H27"/>
  <c r="H30" l="1"/>
  <c r="H68"/>
  <c r="H31" l="1"/>
  <c r="H34" l="1"/>
  <c r="H35" l="1"/>
  <c r="H38" l="1"/>
  <c r="H71" l="1"/>
  <c r="H39"/>
  <c r="H42" l="1"/>
  <c r="H43" s="1"/>
  <c r="H72"/>
  <c r="H46" l="1"/>
  <c r="H47" l="1"/>
  <c r="H50" l="1"/>
  <c r="H75" l="1"/>
  <c r="H51"/>
  <c r="H76" l="1"/>
  <c r="H54"/>
  <c r="H55" l="1"/>
  <c r="H58" l="1"/>
  <c r="H59" s="1"/>
  <c r="H62" l="1"/>
  <c r="H79" s="1"/>
  <c r="H63" l="1"/>
  <c r="H15"/>
  <c r="H13" l="1"/>
  <c r="I18"/>
  <c r="H80"/>
  <c r="K35" i="4"/>
  <c r="K42"/>
  <c r="K44" s="1"/>
  <c r="I11" i="9"/>
  <c r="L24" i="2"/>
  <c r="L25" s="1"/>
  <c r="L42" i="3"/>
  <c r="I33" i="9" l="1"/>
  <c r="I21"/>
  <c r="I25"/>
  <c r="I37"/>
  <c r="I41"/>
  <c r="I49"/>
  <c r="I57"/>
  <c r="I29"/>
  <c r="I17"/>
  <c r="I53"/>
  <c r="I61"/>
  <c r="I45"/>
  <c r="I74" l="1"/>
  <c r="I78"/>
  <c r="I14"/>
  <c r="I66"/>
  <c r="I19"/>
  <c r="I70"/>
  <c r="I22" l="1"/>
  <c r="I23" l="1"/>
  <c r="I26" l="1"/>
  <c r="I27" s="1"/>
  <c r="I30" l="1"/>
  <c r="I68"/>
  <c r="I67"/>
  <c r="I31" l="1"/>
  <c r="I34" l="1"/>
  <c r="I35" s="1"/>
  <c r="I38" l="1"/>
  <c r="I71" s="1"/>
  <c r="I39" l="1"/>
  <c r="I42" l="1"/>
  <c r="I72"/>
  <c r="I43" l="1"/>
  <c r="I46" l="1"/>
  <c r="I47" l="1"/>
  <c r="I50" l="1"/>
  <c r="I75" l="1"/>
  <c r="I51"/>
  <c r="I76" l="1"/>
  <c r="I54"/>
  <c r="I55" l="1"/>
  <c r="I58" l="1"/>
  <c r="I59" l="1"/>
  <c r="I62" l="1"/>
  <c r="I79" l="1"/>
  <c r="I15"/>
  <c r="I63"/>
  <c r="I13" l="1"/>
  <c r="L42" i="4"/>
  <c r="L44" s="1"/>
  <c r="J11" i="9"/>
  <c r="I80"/>
  <c r="J18"/>
  <c r="L35" i="4"/>
  <c r="J57" i="9" l="1"/>
  <c r="J37"/>
  <c r="J45"/>
  <c r="J49"/>
  <c r="J17"/>
  <c r="J53"/>
  <c r="J25"/>
  <c r="J21"/>
  <c r="J41"/>
  <c r="J33"/>
  <c r="J61"/>
  <c r="J29"/>
  <c r="J70" l="1"/>
  <c r="J66"/>
  <c r="J14"/>
  <c r="J19"/>
  <c r="J74"/>
  <c r="J78"/>
  <c r="J22" l="1"/>
  <c r="J23" l="1"/>
  <c r="J26" l="1"/>
  <c r="J67" l="1"/>
  <c r="J27"/>
  <c r="J68" l="1"/>
  <c r="J30"/>
  <c r="J31" l="1"/>
  <c r="J34" l="1"/>
  <c r="J35" l="1"/>
  <c r="J38" l="1"/>
  <c r="J71" l="1"/>
  <c r="J39"/>
  <c r="J72" l="1"/>
  <c r="J42"/>
  <c r="J43" l="1"/>
  <c r="J46" l="1"/>
  <c r="J47" s="1"/>
  <c r="J50" l="1"/>
  <c r="J51" s="1"/>
  <c r="J76" l="1"/>
  <c r="J54"/>
  <c r="J75"/>
  <c r="J55" l="1"/>
  <c r="J58" l="1"/>
  <c r="J59" l="1"/>
  <c r="J62" l="1"/>
  <c r="J79" l="1"/>
  <c r="J15"/>
  <c r="J63"/>
  <c r="J13" l="1"/>
  <c r="J80"/>
  <c r="K18"/>
  <c r="K11"/>
  <c r="K25" l="1"/>
  <c r="K45"/>
  <c r="K17"/>
  <c r="K21"/>
  <c r="K33"/>
  <c r="K61"/>
  <c r="K37"/>
  <c r="K29"/>
  <c r="K53"/>
  <c r="K49"/>
  <c r="K57"/>
  <c r="K41"/>
  <c r="K74" l="1"/>
  <c r="K14"/>
  <c r="K66"/>
  <c r="K19"/>
  <c r="K70"/>
  <c r="K78"/>
  <c r="K22" l="1"/>
  <c r="K23" l="1"/>
  <c r="K26" l="1"/>
  <c r="K67" l="1"/>
  <c r="K27"/>
  <c r="K68" l="1"/>
  <c r="K30"/>
  <c r="K31" l="1"/>
  <c r="K34" l="1"/>
  <c r="K35" l="1"/>
  <c r="K38" l="1"/>
  <c r="K71" l="1"/>
  <c r="K39"/>
  <c r="K72" l="1"/>
  <c r="K42"/>
  <c r="K43" s="1"/>
  <c r="K46" l="1"/>
  <c r="K47" l="1"/>
  <c r="K50" l="1"/>
  <c r="K75" l="1"/>
  <c r="K51"/>
  <c r="K54" l="1"/>
  <c r="K76"/>
  <c r="K55" l="1"/>
  <c r="K58" l="1"/>
  <c r="K59" l="1"/>
  <c r="K62" l="1"/>
  <c r="K79" l="1"/>
  <c r="K15"/>
  <c r="K63"/>
  <c r="K80" l="1"/>
  <c r="L11"/>
  <c r="K13"/>
  <c r="L18"/>
  <c r="L57" l="1"/>
  <c r="L61"/>
  <c r="L53"/>
  <c r="L25"/>
  <c r="L21"/>
  <c r="L49"/>
  <c r="L45"/>
  <c r="L29"/>
  <c r="L37"/>
  <c r="L33"/>
  <c r="L17"/>
  <c r="L41"/>
  <c r="L14" l="1"/>
  <c r="L66"/>
  <c r="L19"/>
  <c r="L78"/>
  <c r="L74"/>
  <c r="L70"/>
  <c r="L22" l="1"/>
  <c r="L23" l="1"/>
  <c r="L26" l="1"/>
  <c r="L67" l="1"/>
  <c r="L27"/>
  <c r="L68" l="1"/>
  <c r="L30"/>
  <c r="L31" l="1"/>
  <c r="L34" l="1"/>
  <c r="L35" l="1"/>
  <c r="L38" l="1"/>
  <c r="L71" l="1"/>
  <c r="L39"/>
  <c r="L42" l="1"/>
  <c r="L72"/>
  <c r="L43" l="1"/>
  <c r="L46" l="1"/>
  <c r="L47" l="1"/>
  <c r="L50" l="1"/>
  <c r="L75" l="1"/>
  <c r="L51"/>
  <c r="L76" l="1"/>
  <c r="L54"/>
  <c r="L55" l="1"/>
  <c r="L58" l="1"/>
  <c r="L59" s="1"/>
  <c r="L62" l="1"/>
  <c r="L79" s="1"/>
  <c r="L63" l="1"/>
  <c r="L15"/>
  <c r="L13" l="1"/>
  <c r="L80"/>
  <c r="M11"/>
  <c r="M18"/>
  <c r="M37" l="1"/>
  <c r="M45"/>
  <c r="M17"/>
  <c r="M49"/>
  <c r="M33"/>
  <c r="M29"/>
  <c r="M25"/>
  <c r="M21"/>
  <c r="M53"/>
  <c r="M41"/>
  <c r="M57"/>
  <c r="M61"/>
  <c r="M74" l="1"/>
  <c r="M78"/>
  <c r="M14"/>
  <c r="M66"/>
  <c r="M19"/>
  <c r="M70"/>
  <c r="M23" l="1"/>
  <c r="M22"/>
  <c r="M26" l="1"/>
  <c r="M67" s="1"/>
  <c r="M27" l="1"/>
  <c r="M30" s="1"/>
  <c r="M68" l="1"/>
  <c r="M31"/>
  <c r="M34" s="1"/>
  <c r="M35" l="1"/>
  <c r="M38" l="1"/>
  <c r="M71" l="1"/>
  <c r="M39"/>
  <c r="M42" l="1"/>
  <c r="M43" s="1"/>
  <c r="M72"/>
  <c r="M46" l="1"/>
  <c r="M47" l="1"/>
  <c r="M50" l="1"/>
  <c r="M75" l="1"/>
  <c r="M51"/>
  <c r="M76" l="1"/>
  <c r="M54"/>
  <c r="M55" s="1"/>
  <c r="M58" l="1"/>
  <c r="M59" s="1"/>
  <c r="M15" l="1"/>
  <c r="M63"/>
  <c r="M62"/>
  <c r="M79" s="1"/>
  <c r="M80" l="1"/>
  <c r="N18"/>
  <c r="N11"/>
  <c r="M13"/>
  <c r="N61" l="1"/>
  <c r="N25"/>
  <c r="N29"/>
  <c r="N53"/>
  <c r="N21"/>
  <c r="N41"/>
  <c r="N17"/>
  <c r="N37"/>
  <c r="N45"/>
  <c r="N33"/>
  <c r="N57"/>
  <c r="N49"/>
  <c r="N70" l="1"/>
  <c r="N66"/>
  <c r="N14"/>
  <c r="N19"/>
  <c r="N78"/>
  <c r="N74"/>
  <c r="N22" l="1"/>
  <c r="N23" l="1"/>
  <c r="N27" l="1"/>
  <c r="N26"/>
  <c r="N31" l="1"/>
  <c r="N30"/>
  <c r="N68"/>
  <c r="N67"/>
  <c r="N34" l="1"/>
  <c r="N35" l="1"/>
  <c r="N38" l="1"/>
  <c r="N39" s="1"/>
  <c r="N72" l="1"/>
  <c r="N42"/>
  <c r="N43" s="1"/>
  <c r="N71"/>
  <c r="N46" l="1"/>
  <c r="N47" s="1"/>
  <c r="N50" l="1"/>
  <c r="N75" s="1"/>
  <c r="N51" l="1"/>
  <c r="N54" l="1"/>
  <c r="N55" s="1"/>
  <c r="N76"/>
  <c r="N58" l="1"/>
  <c r="N59" l="1"/>
  <c r="N62" l="1"/>
  <c r="N63" s="1"/>
  <c r="N80" l="1"/>
  <c r="O11"/>
  <c r="N13"/>
  <c r="O18"/>
  <c r="N79"/>
  <c r="N15"/>
  <c r="O37" l="1"/>
  <c r="O25"/>
  <c r="O41"/>
  <c r="O45"/>
  <c r="O57"/>
  <c r="O49"/>
  <c r="O61"/>
  <c r="O53"/>
  <c r="O21"/>
  <c r="O33"/>
  <c r="O17"/>
  <c r="O29"/>
  <c r="O74" l="1"/>
  <c r="O70"/>
  <c r="O78"/>
  <c r="O14"/>
  <c r="O66"/>
  <c r="O19"/>
  <c r="O22" l="1"/>
  <c r="O23" l="1"/>
  <c r="O26" l="1"/>
  <c r="O67" l="1"/>
  <c r="O27"/>
  <c r="O30" l="1"/>
  <c r="O31" s="1"/>
  <c r="O68"/>
  <c r="O34" l="1"/>
  <c r="O35" l="1"/>
  <c r="O38" l="1"/>
  <c r="O71" l="1"/>
  <c r="O39"/>
  <c r="O42" l="1"/>
  <c r="O43" s="1"/>
  <c r="O72"/>
  <c r="O46" l="1"/>
  <c r="O47" s="1"/>
  <c r="O50" l="1"/>
  <c r="O75" s="1"/>
  <c r="O51" l="1"/>
  <c r="O76" l="1"/>
  <c r="O55"/>
  <c r="O54"/>
  <c r="O58" l="1"/>
  <c r="O59" l="1"/>
  <c r="O63" l="1"/>
  <c r="O62"/>
  <c r="O13" l="1"/>
  <c r="P11"/>
  <c r="O80"/>
  <c r="P18"/>
  <c r="O79"/>
  <c r="O15"/>
  <c r="N38" i="12" s="1"/>
  <c r="N39" s="1"/>
  <c r="P33" i="9" l="1"/>
  <c r="P37"/>
  <c r="P53"/>
  <c r="P21"/>
  <c r="P61"/>
  <c r="P25"/>
  <c r="P41"/>
  <c r="P49"/>
  <c r="P57"/>
  <c r="P45"/>
  <c r="P29"/>
  <c r="P17"/>
  <c r="P70" l="1"/>
  <c r="P14"/>
  <c r="P66"/>
  <c r="P19"/>
  <c r="P74"/>
  <c r="P78"/>
  <c r="P22" l="1"/>
  <c r="P23" l="1"/>
  <c r="P26" l="1"/>
  <c r="P67" l="1"/>
  <c r="P27"/>
  <c r="P30" l="1"/>
  <c r="P68"/>
  <c r="P31" l="1"/>
  <c r="P34" l="1"/>
  <c r="P35" l="1"/>
  <c r="P39" l="1"/>
  <c r="P38"/>
  <c r="P42" l="1"/>
  <c r="P43" s="1"/>
  <c r="P72"/>
  <c r="P71"/>
  <c r="P46" l="1"/>
  <c r="P47" s="1"/>
  <c r="P50" l="1"/>
  <c r="P75" s="1"/>
  <c r="P51" l="1"/>
  <c r="P55" l="1"/>
  <c r="P76"/>
  <c r="P54"/>
  <c r="P59" l="1"/>
  <c r="P58"/>
  <c r="P15" l="1"/>
  <c r="O38" i="12" s="1"/>
  <c r="O39" s="1"/>
  <c r="P62" i="9"/>
  <c r="P79" s="1"/>
  <c r="P63" l="1"/>
  <c r="Q18" l="1"/>
  <c r="P13"/>
  <c r="P80"/>
  <c r="Q11"/>
  <c r="Q57" l="1"/>
  <c r="Q49"/>
  <c r="Q41"/>
  <c r="Q61"/>
  <c r="Q25"/>
  <c r="Q53"/>
  <c r="Q29"/>
  <c r="Q45"/>
  <c r="Q33"/>
  <c r="Q21"/>
  <c r="Q37"/>
  <c r="Q17"/>
  <c r="Q74" l="1"/>
  <c r="Q70"/>
  <c r="Q66"/>
  <c r="Q14"/>
  <c r="Q19"/>
  <c r="Q78"/>
  <c r="Q22" l="1"/>
  <c r="Q23" l="1"/>
  <c r="Q26" l="1"/>
  <c r="Q67" l="1"/>
  <c r="Q27"/>
  <c r="Q31" l="1"/>
  <c r="Q68"/>
  <c r="Q30"/>
  <c r="Q34" l="1"/>
  <c r="Q35" l="1"/>
  <c r="Q38" l="1"/>
  <c r="Q71" l="1"/>
  <c r="Q39"/>
  <c r="Q42" l="1"/>
  <c r="Q72"/>
  <c r="Q43" l="1"/>
  <c r="Q47" l="1"/>
  <c r="Q46"/>
  <c r="Q50" l="1"/>
  <c r="Q75" s="1"/>
  <c r="Q51" l="1"/>
  <c r="Q55" l="1"/>
  <c r="Q76"/>
  <c r="Q54"/>
  <c r="Q58" l="1"/>
  <c r="Q59" l="1"/>
  <c r="Q63" l="1"/>
  <c r="Q62"/>
  <c r="Q13" l="1"/>
  <c r="R11"/>
  <c r="Q80"/>
  <c r="R18"/>
  <c r="Q79"/>
  <c r="Q15"/>
  <c r="P38" i="12" s="1"/>
  <c r="P39" s="1"/>
  <c r="R49" i="9" l="1"/>
  <c r="R61"/>
  <c r="R17"/>
  <c r="R21"/>
  <c r="R45"/>
  <c r="R57"/>
  <c r="R25"/>
  <c r="R33"/>
  <c r="R53"/>
  <c r="R37"/>
  <c r="R29"/>
  <c r="R41"/>
  <c r="R78" l="1"/>
  <c r="R66"/>
  <c r="R14"/>
  <c r="R19"/>
  <c r="R70"/>
  <c r="R74"/>
  <c r="R22" l="1"/>
  <c r="R23" l="1"/>
  <c r="R26" l="1"/>
  <c r="R67" l="1"/>
  <c r="R27"/>
  <c r="R68" l="1"/>
  <c r="R31"/>
  <c r="R30"/>
  <c r="R34" l="1"/>
  <c r="R35" l="1"/>
  <c r="R38" l="1"/>
  <c r="R71" l="1"/>
  <c r="R39"/>
  <c r="R72" l="1"/>
  <c r="R42"/>
  <c r="R43" s="1"/>
  <c r="R46" l="1"/>
  <c r="R47" s="1"/>
  <c r="R50" l="1"/>
  <c r="R75" s="1"/>
  <c r="R51" l="1"/>
  <c r="R55" l="1"/>
  <c r="R76"/>
  <c r="R54"/>
  <c r="R58" l="1"/>
  <c r="R59" l="1"/>
  <c r="R62" l="1"/>
  <c r="R63" s="1"/>
  <c r="R13" l="1"/>
  <c r="S11"/>
  <c r="R80"/>
  <c r="S18"/>
  <c r="R79"/>
  <c r="R15"/>
  <c r="Q38" i="12" s="1"/>
  <c r="Q39" s="1"/>
  <c r="S21" i="9" l="1"/>
  <c r="S49"/>
  <c r="S37"/>
  <c r="S25"/>
  <c r="S33"/>
  <c r="S53"/>
  <c r="S41"/>
  <c r="S57"/>
  <c r="S45"/>
  <c r="S61"/>
  <c r="S29"/>
  <c r="S17"/>
  <c r="S66" l="1"/>
  <c r="S14"/>
  <c r="S19"/>
  <c r="S78"/>
  <c r="S70"/>
  <c r="S74"/>
  <c r="S22" l="1"/>
  <c r="S23" l="1"/>
  <c r="S26" l="1"/>
  <c r="S27" s="1"/>
  <c r="S68" l="1"/>
  <c r="S30"/>
  <c r="S31" s="1"/>
  <c r="S67"/>
  <c r="S34" l="1"/>
  <c r="S35" l="1"/>
  <c r="S38" l="1"/>
  <c r="S39" s="1"/>
  <c r="S42" l="1"/>
  <c r="S43" s="1"/>
  <c r="S72"/>
  <c r="S71"/>
  <c r="S46" l="1"/>
  <c r="S47" s="1"/>
  <c r="S50" l="1"/>
  <c r="S75" s="1"/>
  <c r="S51" l="1"/>
  <c r="S55" l="1"/>
  <c r="S76"/>
  <c r="S54"/>
  <c r="S59" l="1"/>
  <c r="S58"/>
  <c r="S15" l="1"/>
  <c r="S62"/>
  <c r="S79" s="1"/>
  <c r="S63" l="1"/>
  <c r="S80" s="1"/>
  <c r="T11"/>
  <c r="T18" l="1"/>
  <c r="S13"/>
  <c r="T33"/>
  <c r="T61"/>
  <c r="T53"/>
  <c r="T57"/>
  <c r="T45"/>
  <c r="T37"/>
  <c r="T21"/>
  <c r="T41"/>
  <c r="T25"/>
  <c r="T49"/>
  <c r="T17"/>
  <c r="T29"/>
  <c r="T66" l="1"/>
  <c r="T14"/>
  <c r="T19"/>
  <c r="T78"/>
  <c r="T70"/>
  <c r="T74"/>
  <c r="T22" l="1"/>
  <c r="T23" l="1"/>
  <c r="T26" l="1"/>
  <c r="T67" l="1"/>
  <c r="T27"/>
  <c r="T31" l="1"/>
  <c r="T68"/>
  <c r="T30"/>
  <c r="T34" l="1"/>
  <c r="T35" l="1"/>
  <c r="T38" l="1"/>
  <c r="T71" l="1"/>
  <c r="T39"/>
  <c r="T42" l="1"/>
  <c r="T72"/>
  <c r="T43" l="1"/>
  <c r="T46" l="1"/>
  <c r="T47" l="1"/>
  <c r="T50" l="1"/>
  <c r="T75" l="1"/>
  <c r="T51"/>
  <c r="T76" l="1"/>
  <c r="T55"/>
  <c r="T54"/>
  <c r="T58" l="1"/>
  <c r="T59" s="1"/>
  <c r="T15" l="1"/>
  <c r="T62"/>
  <c r="T79" s="1"/>
  <c r="T63" l="1"/>
  <c r="T13" l="1"/>
  <c r="U18"/>
  <c r="T80"/>
  <c r="U11"/>
  <c r="U37" l="1"/>
  <c r="U49"/>
  <c r="U33"/>
  <c r="U57"/>
  <c r="U41"/>
  <c r="U29"/>
  <c r="U61"/>
  <c r="U25"/>
  <c r="U53"/>
  <c r="U21"/>
  <c r="U45"/>
  <c r="U17"/>
  <c r="U14" l="1"/>
  <c r="U66"/>
  <c r="U19"/>
  <c r="U78"/>
  <c r="U74"/>
  <c r="U70"/>
  <c r="U22" l="1"/>
  <c r="U23" l="1"/>
  <c r="U26" l="1"/>
  <c r="U67" l="1"/>
  <c r="U27"/>
  <c r="U30" l="1"/>
  <c r="U68"/>
  <c r="U31" l="1"/>
  <c r="U34" l="1"/>
  <c r="U35" l="1"/>
  <c r="U39" l="1"/>
  <c r="U38"/>
  <c r="U42" l="1"/>
  <c r="U72"/>
  <c r="U71"/>
  <c r="U43" l="1"/>
  <c r="U46" l="1"/>
  <c r="U47" l="1"/>
  <c r="U50" l="1"/>
  <c r="U75" l="1"/>
  <c r="U51"/>
  <c r="U55" l="1"/>
  <c r="U76"/>
  <c r="U54"/>
  <c r="U58" l="1"/>
  <c r="U59" l="1"/>
  <c r="U62" l="1"/>
  <c r="U63" s="1"/>
  <c r="U80" l="1"/>
  <c r="U13"/>
  <c r="V18"/>
  <c r="V11"/>
  <c r="U79"/>
  <c r="U15"/>
  <c r="V21" l="1"/>
  <c r="V45"/>
  <c r="V37"/>
  <c r="V61"/>
  <c r="V17"/>
  <c r="V41"/>
  <c r="V33"/>
  <c r="V25"/>
  <c r="V29"/>
  <c r="V49"/>
  <c r="V57"/>
  <c r="V53"/>
  <c r="V14" l="1"/>
  <c r="V66"/>
  <c r="V19"/>
  <c r="V78"/>
  <c r="V70"/>
  <c r="V74"/>
  <c r="V22" l="1"/>
  <c r="V23" l="1"/>
  <c r="V26" l="1"/>
  <c r="V27" s="1"/>
  <c r="V68" l="1"/>
  <c r="V30"/>
  <c r="V31" s="1"/>
  <c r="V67"/>
  <c r="V34" l="1"/>
  <c r="V35" l="1"/>
  <c r="V38" l="1"/>
  <c r="V71" l="1"/>
  <c r="V39"/>
  <c r="V42" l="1"/>
  <c r="V43" s="1"/>
  <c r="V72"/>
  <c r="V46" l="1"/>
  <c r="V47" l="1"/>
  <c r="V50" l="1"/>
  <c r="V75" l="1"/>
  <c r="V51"/>
  <c r="V55" l="1"/>
  <c r="V76"/>
  <c r="V54"/>
  <c r="V59" l="1"/>
  <c r="V58"/>
  <c r="V15" l="1"/>
  <c r="V62"/>
  <c r="V79" s="1"/>
  <c r="V63" l="1"/>
  <c r="W18" s="1"/>
  <c r="V13" l="1"/>
  <c r="W11"/>
  <c r="W41" s="1"/>
  <c r="V80"/>
  <c r="W25" l="1"/>
  <c r="W29"/>
  <c r="W17"/>
  <c r="W19" s="1"/>
  <c r="W53"/>
  <c r="W45"/>
  <c r="W33"/>
  <c r="W57"/>
  <c r="W49"/>
  <c r="W21"/>
  <c r="W37"/>
  <c r="W61"/>
  <c r="W74" l="1"/>
  <c r="W78"/>
  <c r="W70"/>
  <c r="W14"/>
  <c r="W66"/>
  <c r="W22"/>
  <c r="W23" l="1"/>
  <c r="W26" l="1"/>
  <c r="W67" l="1"/>
  <c r="W27"/>
  <c r="W30" l="1"/>
  <c r="W68"/>
  <c r="W31" l="1"/>
  <c r="W34" l="1"/>
  <c r="W35" l="1"/>
  <c r="W38" l="1"/>
  <c r="W71" l="1"/>
  <c r="W39"/>
  <c r="W72" l="1"/>
  <c r="W42"/>
  <c r="W43" s="1"/>
  <c r="W46" l="1"/>
  <c r="W47" s="1"/>
  <c r="W50" l="1"/>
  <c r="W75" s="1"/>
  <c r="W51" l="1"/>
  <c r="W76" l="1"/>
  <c r="W54"/>
  <c r="W55" s="1"/>
  <c r="W58" l="1"/>
  <c r="W59" l="1"/>
  <c r="W62" l="1"/>
  <c r="W63" s="1"/>
  <c r="X11" l="1"/>
  <c r="W13"/>
  <c r="W80"/>
  <c r="X18"/>
  <c r="W79"/>
  <c r="W15"/>
  <c r="X45" l="1"/>
  <c r="X49"/>
  <c r="X17"/>
  <c r="X57"/>
  <c r="X21"/>
  <c r="X37"/>
  <c r="X33"/>
  <c r="X25"/>
  <c r="X41"/>
  <c r="X74" s="1"/>
  <c r="X61"/>
  <c r="X53"/>
  <c r="X29"/>
  <c r="X14" l="1"/>
  <c r="X66"/>
  <c r="X19"/>
  <c r="X78"/>
  <c r="X70"/>
  <c r="X22" l="1"/>
  <c r="X23" l="1"/>
  <c r="X26" l="1"/>
  <c r="X67" l="1"/>
  <c r="X27"/>
  <c r="X30" l="1"/>
  <c r="X68"/>
  <c r="X31" l="1"/>
  <c r="X34" l="1"/>
  <c r="X35" l="1"/>
  <c r="X38" l="1"/>
  <c r="X39" s="1"/>
  <c r="X42" l="1"/>
  <c r="X72"/>
  <c r="X71"/>
  <c r="X43" l="1"/>
  <c r="X46" l="1"/>
  <c r="X47" l="1"/>
  <c r="X50" l="1"/>
  <c r="X75" l="1"/>
  <c r="X51"/>
  <c r="X55" l="1"/>
  <c r="X76"/>
  <c r="X54"/>
  <c r="X58" l="1"/>
  <c r="X59" s="1"/>
  <c r="X15" l="1"/>
  <c r="X62"/>
  <c r="X79" s="1"/>
  <c r="X63" l="1"/>
  <c r="X80" l="1"/>
  <c r="Y18"/>
  <c r="X13"/>
  <c r="Y11"/>
  <c r="Y37" l="1"/>
  <c r="Y25"/>
  <c r="Y17"/>
  <c r="Y29"/>
  <c r="Y61"/>
  <c r="Y49"/>
  <c r="Y41"/>
  <c r="Y21"/>
  <c r="Y33"/>
  <c r="Y57"/>
  <c r="Y45"/>
  <c r="Y53"/>
  <c r="Y74" l="1"/>
  <c r="Y78"/>
  <c r="Y70"/>
  <c r="Y66"/>
  <c r="Y14"/>
  <c r="Y19"/>
  <c r="Y22" l="1"/>
  <c r="Y23" l="1"/>
  <c r="Y26" l="1"/>
  <c r="Y27" s="1"/>
  <c r="Y31" l="1"/>
  <c r="Y30"/>
  <c r="Y68"/>
  <c r="Y67"/>
  <c r="Y34" l="1"/>
  <c r="Y35" s="1"/>
  <c r="Y38" l="1"/>
  <c r="Y71" s="1"/>
  <c r="Y39" l="1"/>
  <c r="Y42" l="1"/>
  <c r="Y72"/>
  <c r="Y43" l="1"/>
  <c r="Y47" l="1"/>
  <c r="Y46"/>
  <c r="Y50" l="1"/>
  <c r="Y75" s="1"/>
  <c r="Y51" l="1"/>
  <c r="Y55" l="1"/>
  <c r="Y76"/>
  <c r="Y54"/>
  <c r="Y58" l="1"/>
  <c r="Y59" l="1"/>
  <c r="Y63" l="1"/>
  <c r="Y62"/>
  <c r="Y13" l="1"/>
  <c r="Z18"/>
  <c r="Y80"/>
  <c r="Z11"/>
  <c r="Y79"/>
  <c r="Y15"/>
  <c r="Z57" l="1"/>
  <c r="Z37"/>
  <c r="Z21"/>
  <c r="Z33"/>
  <c r="Z17"/>
  <c r="Z29"/>
  <c r="Z45"/>
  <c r="Z49"/>
  <c r="Z41"/>
  <c r="Z61"/>
  <c r="Z25"/>
  <c r="Z53"/>
  <c r="Z78" l="1"/>
  <c r="Z66"/>
  <c r="Z14"/>
  <c r="Z19"/>
  <c r="Z74"/>
  <c r="Z70"/>
  <c r="Z22" l="1"/>
  <c r="Z23" l="1"/>
  <c r="Z26" l="1"/>
  <c r="Z67" l="1"/>
  <c r="Z27"/>
  <c r="Z68" l="1"/>
  <c r="Z30"/>
  <c r="Z31" s="1"/>
  <c r="Z34" l="1"/>
  <c r="Z35" l="1"/>
  <c r="Z38" l="1"/>
  <c r="Z71" l="1"/>
  <c r="Z39"/>
  <c r="Z42" l="1"/>
  <c r="Z72"/>
  <c r="Z43" l="1"/>
  <c r="Z46" l="1"/>
  <c r="Z47" s="1"/>
  <c r="Z50" l="1"/>
  <c r="Z75" s="1"/>
  <c r="Z51" l="1"/>
  <c r="Z54" l="1"/>
  <c r="Z76"/>
  <c r="Z55" l="1"/>
  <c r="Z58" l="1"/>
  <c r="Z59" s="1"/>
  <c r="Z62" l="1"/>
  <c r="Z79" s="1"/>
  <c r="Z63" l="1"/>
  <c r="AA11" s="1"/>
  <c r="Z15"/>
  <c r="AA18" l="1"/>
  <c r="Z13"/>
  <c r="Z80"/>
  <c r="AA21"/>
  <c r="AA61"/>
  <c r="AA53"/>
  <c r="AA29"/>
  <c r="AA25"/>
  <c r="AA49"/>
  <c r="AA57"/>
  <c r="AA33"/>
  <c r="AA17"/>
  <c r="AA41"/>
  <c r="AA37"/>
  <c r="AA45"/>
  <c r="AA74" l="1"/>
  <c r="AA66"/>
  <c r="AA14"/>
  <c r="AA19"/>
  <c r="AA78"/>
  <c r="AA70"/>
  <c r="AA22" l="1"/>
  <c r="AA23" l="1"/>
  <c r="AA26" l="1"/>
  <c r="AA27" s="1"/>
  <c r="AA68" l="1"/>
  <c r="AA31"/>
  <c r="AA30"/>
  <c r="AA67"/>
  <c r="AA34" l="1"/>
  <c r="AA35" l="1"/>
  <c r="AA39" l="1"/>
  <c r="AA38"/>
  <c r="AA72" l="1"/>
  <c r="AA42"/>
  <c r="AA43" s="1"/>
  <c r="AA71"/>
  <c r="AA47" l="1"/>
  <c r="AA46"/>
  <c r="AA50" l="1"/>
  <c r="AA75" s="1"/>
  <c r="AA51" l="1"/>
  <c r="AA54" l="1"/>
  <c r="AA76"/>
  <c r="AA55" l="1"/>
  <c r="AA58" l="1"/>
  <c r="AA59" s="1"/>
  <c r="AA63" l="1"/>
  <c r="AA62"/>
  <c r="AA79" s="1"/>
  <c r="AA80" l="1"/>
  <c r="AA13"/>
  <c r="AB11"/>
  <c r="AB18"/>
  <c r="AA15"/>
  <c r="AB21" l="1"/>
  <c r="AB45"/>
  <c r="AB53"/>
  <c r="AB33"/>
  <c r="AB57"/>
  <c r="AB37"/>
  <c r="AB61"/>
  <c r="AB17"/>
  <c r="AB41"/>
  <c r="AB74" s="1"/>
  <c r="AB25"/>
  <c r="AB49"/>
  <c r="AB29"/>
  <c r="AB14" l="1"/>
  <c r="AB66"/>
  <c r="AB19"/>
  <c r="AB78"/>
  <c r="AB70"/>
  <c r="AB22" l="1"/>
  <c r="AB23" s="1"/>
  <c r="AB26" l="1"/>
  <c r="AB67" s="1"/>
  <c r="AB27" l="1"/>
  <c r="AB68" s="1"/>
  <c r="AB30" l="1"/>
  <c r="AB31" s="1"/>
  <c r="AB34" s="1"/>
  <c r="AB35" l="1"/>
  <c r="AB38" l="1"/>
  <c r="AB71" l="1"/>
  <c r="AB39"/>
  <c r="AB42" l="1"/>
  <c r="AB72"/>
  <c r="AB43" l="1"/>
  <c r="AB46" l="1"/>
  <c r="AB47" s="1"/>
  <c r="AB50" l="1"/>
  <c r="AB75" s="1"/>
  <c r="AB51" l="1"/>
  <c r="AB54" l="1"/>
  <c r="AB55" s="1"/>
  <c r="AB76"/>
  <c r="AB58" l="1"/>
  <c r="AB59" s="1"/>
  <c r="AB15" l="1"/>
  <c r="AB62"/>
  <c r="AB79" s="1"/>
  <c r="AB63" l="1"/>
  <c r="AB80" l="1"/>
  <c r="AB13"/>
  <c r="AC18"/>
  <c r="AC11"/>
  <c r="AC49" l="1"/>
  <c r="AC33"/>
  <c r="AC17"/>
  <c r="AC25"/>
  <c r="AC57"/>
  <c r="AC21"/>
  <c r="AC61"/>
  <c r="AC45"/>
  <c r="AC53"/>
  <c r="AC29"/>
  <c r="AC37"/>
  <c r="AC41"/>
  <c r="AC74" l="1"/>
  <c r="AC14"/>
  <c r="AC66"/>
  <c r="AC19"/>
  <c r="AC78"/>
  <c r="AC70"/>
  <c r="AC22" l="1"/>
  <c r="AC23" l="1"/>
  <c r="AC26" l="1"/>
  <c r="AC67" l="1"/>
  <c r="AC27"/>
  <c r="AC68" l="1"/>
  <c r="AC30"/>
  <c r="AC31" l="1"/>
  <c r="AC34" l="1"/>
  <c r="AC35" l="1"/>
  <c r="AC38" l="1"/>
  <c r="AC39" s="1"/>
  <c r="AC42" l="1"/>
  <c r="AC72"/>
  <c r="AC71"/>
  <c r="AC43" l="1"/>
  <c r="AC46" l="1"/>
  <c r="AC47" l="1"/>
  <c r="AC50" l="1"/>
  <c r="AC75" l="1"/>
  <c r="AC51"/>
  <c r="AC55" l="1"/>
  <c r="AC76"/>
  <c r="AC54"/>
  <c r="AC58" l="1"/>
  <c r="AC59" s="1"/>
  <c r="AC15" l="1"/>
  <c r="AC63"/>
  <c r="AC62"/>
  <c r="AC79" s="1"/>
  <c r="AC13" l="1"/>
  <c r="AD18"/>
  <c r="AC80"/>
  <c r="AD11"/>
  <c r="AD37" l="1"/>
  <c r="AD21"/>
  <c r="AD17"/>
  <c r="AD61"/>
  <c r="AD25"/>
  <c r="AD29"/>
  <c r="AD41"/>
  <c r="AD49"/>
  <c r="AD33"/>
  <c r="AD57"/>
  <c r="AD45"/>
  <c r="AD53"/>
  <c r="AD74" l="1"/>
  <c r="AD78"/>
  <c r="AD66"/>
  <c r="AD14"/>
  <c r="AD19"/>
  <c r="AD70"/>
  <c r="AD22" l="1"/>
  <c r="AD23" l="1"/>
  <c r="AD27" l="1"/>
  <c r="AD26"/>
  <c r="AD68" l="1"/>
  <c r="AD30"/>
  <c r="AD31" s="1"/>
  <c r="AD67"/>
  <c r="AD34" l="1"/>
  <c r="AD35" l="1"/>
  <c r="AD38" l="1"/>
  <c r="AD71" l="1"/>
  <c r="AD39"/>
  <c r="AD72" l="1"/>
  <c r="AD43"/>
  <c r="AD42"/>
  <c r="AD46" l="1"/>
  <c r="AD47" s="1"/>
  <c r="AD50" l="1"/>
  <c r="AD75" s="1"/>
  <c r="AD51" l="1"/>
  <c r="AD54" l="1"/>
  <c r="AD76"/>
  <c r="AD55" l="1"/>
  <c r="AD58" l="1"/>
  <c r="AD59" l="1"/>
  <c r="AD63" l="1"/>
  <c r="AD62"/>
  <c r="AD80" l="1"/>
  <c r="AE11"/>
  <c r="AD13"/>
  <c r="AE18"/>
  <c r="AD79"/>
  <c r="AD15"/>
  <c r="AE49" l="1"/>
  <c r="AE25"/>
  <c r="AE41"/>
  <c r="AE33"/>
  <c r="AE45"/>
  <c r="AE53"/>
  <c r="AE29"/>
  <c r="AE21"/>
  <c r="AE57"/>
  <c r="AE17"/>
  <c r="AE61"/>
  <c r="AE37"/>
  <c r="AE70" l="1"/>
  <c r="AE14"/>
  <c r="AE66"/>
  <c r="AE19"/>
  <c r="AE78"/>
  <c r="AE74"/>
  <c r="AE22" l="1"/>
  <c r="AE23" l="1"/>
  <c r="AE26" l="1"/>
  <c r="AE27" s="1"/>
  <c r="AE31" l="1"/>
  <c r="AE30"/>
  <c r="AE68"/>
  <c r="AE67"/>
  <c r="AE34" l="1"/>
  <c r="AE35" l="1"/>
  <c r="AE39" l="1"/>
  <c r="AE38"/>
  <c r="AE72" l="1"/>
  <c r="AE42"/>
  <c r="AE43" s="1"/>
  <c r="AE71"/>
  <c r="AE46" l="1"/>
  <c r="AE47" l="1"/>
  <c r="AE50" l="1"/>
  <c r="AE75" l="1"/>
  <c r="AE51"/>
  <c r="AE55" l="1"/>
  <c r="AE76"/>
  <c r="AE54"/>
  <c r="AE58" l="1"/>
  <c r="AE59" s="1"/>
  <c r="AE15" l="1"/>
  <c r="AE62"/>
  <c r="AE79" s="1"/>
  <c r="AE63" l="1"/>
  <c r="AE80" l="1"/>
  <c r="AE13"/>
  <c r="AF11"/>
  <c r="AF18"/>
  <c r="AF57" l="1"/>
  <c r="AF21"/>
  <c r="AF41"/>
  <c r="AF25"/>
  <c r="AF45"/>
  <c r="AF53"/>
  <c r="AF37"/>
  <c r="AF33"/>
  <c r="AF17"/>
  <c r="AF61"/>
  <c r="AF49"/>
  <c r="AF29"/>
  <c r="AF70" l="1"/>
  <c r="AF78"/>
  <c r="AF66"/>
  <c r="AF14"/>
  <c r="AF19"/>
  <c r="AF74"/>
  <c r="AF22" l="1"/>
  <c r="AF23" l="1"/>
  <c r="AF26" l="1"/>
  <c r="AF27" s="1"/>
  <c r="AF68" l="1"/>
  <c r="AF30"/>
  <c r="AF31" s="1"/>
  <c r="AF67"/>
  <c r="AF34" l="1"/>
  <c r="AF35" s="1"/>
  <c r="AF38" l="1"/>
  <c r="AF71" s="1"/>
  <c r="AF39" l="1"/>
  <c r="AF42" l="1"/>
  <c r="AF72"/>
  <c r="AF43" l="1"/>
  <c r="AF46" l="1"/>
  <c r="AF47" s="1"/>
  <c r="AF50" l="1"/>
  <c r="AF51" l="1"/>
  <c r="AF75"/>
  <c r="AF54" l="1"/>
  <c r="AF76"/>
  <c r="AF55" l="1"/>
  <c r="AF59" l="1"/>
  <c r="AF58"/>
  <c r="AF62" l="1"/>
  <c r="AF79" s="1"/>
  <c r="AF63" l="1"/>
  <c r="AF15"/>
  <c r="AF13" l="1"/>
  <c r="AG18"/>
  <c r="AF80"/>
  <c r="AG11"/>
  <c r="AG33" l="1"/>
  <c r="AG61"/>
  <c r="AG17"/>
  <c r="AG45"/>
  <c r="AG21"/>
  <c r="AG37"/>
  <c r="AG49"/>
  <c r="AG57"/>
  <c r="AG53"/>
  <c r="AG29"/>
  <c r="AG25"/>
  <c r="AG41"/>
  <c r="AG70" l="1"/>
  <c r="AG66"/>
  <c r="AG14"/>
  <c r="AG19"/>
  <c r="AG74"/>
  <c r="AG78"/>
  <c r="AG22" l="1"/>
  <c r="AG23" l="1"/>
  <c r="AG26" l="1"/>
  <c r="AG67" l="1"/>
  <c r="AG27"/>
  <c r="AG68" l="1"/>
  <c r="AG30"/>
  <c r="AG31" s="1"/>
  <c r="AG34" l="1"/>
  <c r="AG35" s="1"/>
  <c r="AG38" l="1"/>
  <c r="AG39" s="1"/>
  <c r="AG71" l="1"/>
  <c r="AG42"/>
  <c r="AG72"/>
  <c r="AG43" l="1"/>
  <c r="AG46" l="1"/>
  <c r="AG47" s="1"/>
  <c r="AG50" l="1"/>
  <c r="AG75" s="1"/>
  <c r="AG51" l="1"/>
  <c r="AG55" l="1"/>
  <c r="AG76"/>
  <c r="AG54"/>
  <c r="AG58" l="1"/>
  <c r="AG59" l="1"/>
  <c r="AG63" l="1"/>
  <c r="AG62"/>
  <c r="AG79" l="1"/>
  <c r="AG15"/>
  <c r="AG13"/>
  <c r="AH18"/>
  <c r="AG80"/>
  <c r="AH11"/>
  <c r="AH37" l="1"/>
  <c r="AH49"/>
  <c r="AH21"/>
  <c r="AH25"/>
  <c r="AH53"/>
  <c r="AH29"/>
  <c r="AH57"/>
  <c r="AH61"/>
  <c r="AH17"/>
  <c r="AH41"/>
  <c r="AH74" s="1"/>
  <c r="AH45"/>
  <c r="AH33"/>
  <c r="AH78" l="1"/>
  <c r="AH14"/>
  <c r="AH66"/>
  <c r="AH19"/>
  <c r="AH70"/>
  <c r="AH22" l="1"/>
  <c r="AH23" l="1"/>
  <c r="AH26" l="1"/>
  <c r="AH67" l="1"/>
  <c r="AH27"/>
  <c r="AH30" l="1"/>
  <c r="AH68"/>
  <c r="AH31" l="1"/>
  <c r="AH34" l="1"/>
  <c r="AH35" l="1"/>
  <c r="AH38" l="1"/>
  <c r="AH71" l="1"/>
  <c r="AH39"/>
  <c r="AH43" l="1"/>
  <c r="AH42"/>
  <c r="AH72"/>
  <c r="AH46" l="1"/>
  <c r="AH47" s="1"/>
  <c r="AH50" l="1"/>
  <c r="AH75" s="1"/>
  <c r="AH51" l="1"/>
  <c r="AH76" s="1"/>
  <c r="AH54" l="1"/>
  <c r="AH55" s="1"/>
  <c r="AH58" s="1"/>
  <c r="AH59" l="1"/>
  <c r="AH62" s="1"/>
  <c r="AH79" l="1"/>
  <c r="AH15"/>
  <c r="AH63"/>
  <c r="AH80" s="1"/>
  <c r="AH13" l="1"/>
  <c r="AI11"/>
  <c r="AI57" s="1"/>
  <c r="AI18"/>
  <c r="AI29" l="1"/>
  <c r="AI25"/>
  <c r="AI53"/>
  <c r="AI17"/>
  <c r="AI41"/>
  <c r="AI45"/>
  <c r="AI61"/>
  <c r="AI33"/>
  <c r="AI49"/>
  <c r="AI21"/>
  <c r="AI37"/>
  <c r="AI19"/>
  <c r="AI70" l="1"/>
  <c r="AI78"/>
  <c r="AI74"/>
  <c r="AI14"/>
  <c r="AI66"/>
  <c r="AI22"/>
  <c r="AI23" l="1"/>
  <c r="AI26" l="1"/>
  <c r="AI67" l="1"/>
  <c r="AI27"/>
  <c r="AI68" l="1"/>
  <c r="AI30"/>
  <c r="AI31" s="1"/>
  <c r="AI34" l="1"/>
  <c r="AI35" l="1"/>
  <c r="AI38" l="1"/>
  <c r="AI39" s="1"/>
  <c r="AI42" l="1"/>
  <c r="AI72"/>
  <c r="AI71"/>
  <c r="AI43" l="1"/>
  <c r="AI46" l="1"/>
  <c r="AI47" s="1"/>
  <c r="AI50" l="1"/>
  <c r="AI75" s="1"/>
  <c r="AI51" l="1"/>
  <c r="AI54" l="1"/>
  <c r="AI76"/>
  <c r="AI55" l="1"/>
  <c r="AI58" l="1"/>
  <c r="AI59" l="1"/>
  <c r="AI62" l="1"/>
  <c r="AI63" s="1"/>
  <c r="AJ18" l="1"/>
  <c r="AJ11"/>
  <c r="AI13"/>
  <c r="AI80"/>
  <c r="AI79"/>
  <c r="AI15"/>
  <c r="AJ61" l="1"/>
  <c r="AJ25"/>
  <c r="AJ17"/>
  <c r="AJ29"/>
  <c r="AJ37"/>
  <c r="AJ57"/>
  <c r="AJ49"/>
  <c r="AJ33"/>
  <c r="AJ41"/>
  <c r="AJ53"/>
  <c r="AJ21"/>
  <c r="AJ45"/>
  <c r="AJ74" l="1"/>
  <c r="AJ14"/>
  <c r="AJ66"/>
  <c r="AJ19"/>
  <c r="AJ78"/>
  <c r="AJ70"/>
  <c r="AJ23" l="1"/>
  <c r="AJ22"/>
  <c r="AJ26" l="1"/>
  <c r="AJ27" s="1"/>
  <c r="AJ30" l="1"/>
  <c r="AJ31" s="1"/>
  <c r="AJ68"/>
  <c r="AJ67"/>
  <c r="AJ34" l="1"/>
  <c r="AJ35" l="1"/>
  <c r="AJ38" l="1"/>
  <c r="AJ71" l="1"/>
  <c r="AJ39"/>
  <c r="AJ72" l="1"/>
  <c r="AJ42"/>
  <c r="AJ43" s="1"/>
  <c r="AJ46" l="1"/>
  <c r="AJ47" l="1"/>
  <c r="AJ50" l="1"/>
  <c r="AJ75" l="1"/>
  <c r="AJ51"/>
  <c r="AJ55" l="1"/>
  <c r="AJ76"/>
  <c r="AJ54"/>
  <c r="AJ58" l="1"/>
  <c r="AJ59" l="1"/>
  <c r="AJ62" l="1"/>
  <c r="AJ15" l="1"/>
  <c r="AJ79"/>
  <c r="AJ63"/>
  <c r="AJ80" l="1"/>
  <c r="AK18"/>
  <c r="AJ13"/>
  <c r="AK11"/>
  <c r="AK57" l="1"/>
  <c r="AK61"/>
  <c r="AK17"/>
  <c r="AK25"/>
  <c r="AK37"/>
  <c r="AK53"/>
  <c r="AK49"/>
  <c r="AK45"/>
  <c r="AK29"/>
  <c r="AK41"/>
  <c r="AK21"/>
  <c r="AK33"/>
  <c r="AK78" l="1"/>
  <c r="AK70"/>
  <c r="AK66"/>
  <c r="AK14"/>
  <c r="AK19"/>
  <c r="AK74"/>
  <c r="AK22" l="1"/>
  <c r="AK23" l="1"/>
  <c r="AK26" l="1"/>
  <c r="AK27" s="1"/>
  <c r="AK68" l="1"/>
  <c r="AK30"/>
  <c r="AK31" s="1"/>
  <c r="AK67"/>
  <c r="AK34" l="1"/>
  <c r="AK35" s="1"/>
  <c r="AK39" l="1"/>
  <c r="AK38"/>
  <c r="AK71" s="1"/>
  <c r="AK42" l="1"/>
  <c r="AK72"/>
  <c r="AK43" l="1"/>
  <c r="AK46" l="1"/>
  <c r="AK47" l="1"/>
  <c r="AK50" l="1"/>
  <c r="AK75" l="1"/>
  <c r="AK51"/>
  <c r="AK76" l="1"/>
  <c r="AK54"/>
  <c r="AK55" l="1"/>
  <c r="AK59" l="1"/>
  <c r="AK58"/>
  <c r="AK62" l="1"/>
  <c r="AK79" s="1"/>
  <c r="AK63" l="1"/>
  <c r="AL18" s="1"/>
  <c r="AK15"/>
  <c r="AK13" l="1"/>
  <c r="AL11"/>
  <c r="AL61" s="1"/>
  <c r="AK80"/>
  <c r="AL33" l="1"/>
  <c r="AL41"/>
  <c r="AL53"/>
  <c r="AL21"/>
  <c r="AL45"/>
  <c r="AL57"/>
  <c r="AL29"/>
  <c r="AL17"/>
  <c r="AL25"/>
  <c r="AL66" s="1"/>
  <c r="AL49"/>
  <c r="AL37"/>
  <c r="AL19"/>
  <c r="AL78"/>
  <c r="AL70" l="1"/>
  <c r="AL74"/>
  <c r="AL14"/>
  <c r="AL22"/>
  <c r="AL23" s="1"/>
  <c r="AL26" l="1"/>
  <c r="AL67" s="1"/>
  <c r="AL27" l="1"/>
  <c r="AL31" l="1"/>
  <c r="AL68"/>
  <c r="AL30"/>
  <c r="AL34" l="1"/>
  <c r="AL35" l="1"/>
  <c r="AL38" l="1"/>
  <c r="AL71" l="1"/>
  <c r="AL39"/>
  <c r="AL42" l="1"/>
  <c r="AL43" s="1"/>
  <c r="AL72"/>
  <c r="AL46" l="1"/>
  <c r="AL47" s="1"/>
  <c r="AL50" l="1"/>
  <c r="AL75" s="1"/>
  <c r="AL51" l="1"/>
  <c r="AL54" l="1"/>
  <c r="AL76"/>
  <c r="AL55" l="1"/>
  <c r="AL58" l="1"/>
  <c r="AL59" l="1"/>
  <c r="AL63" l="1"/>
  <c r="AL62"/>
  <c r="AL80" l="1"/>
  <c r="AM18"/>
  <c r="AM11"/>
  <c r="AL13"/>
  <c r="AL79"/>
  <c r="AL15"/>
  <c r="AM57" l="1"/>
  <c r="AM49"/>
  <c r="AM17"/>
  <c r="AM29"/>
  <c r="AM25"/>
  <c r="AM21"/>
  <c r="AM41"/>
  <c r="AM61"/>
  <c r="AM33"/>
  <c r="AM53"/>
  <c r="AM37"/>
  <c r="AM45"/>
  <c r="AM74" l="1"/>
  <c r="AM66"/>
  <c r="AM14"/>
  <c r="AM19"/>
  <c r="AM70"/>
  <c r="AM78"/>
  <c r="AM22" l="1"/>
  <c r="AM23" l="1"/>
  <c r="AM26" l="1"/>
  <c r="AM67" l="1"/>
  <c r="AM27"/>
  <c r="AM31" l="1"/>
  <c r="AM68"/>
  <c r="AM30"/>
  <c r="AM34" l="1"/>
  <c r="AM35" l="1"/>
  <c r="AM38" l="1"/>
  <c r="AM39" s="1"/>
  <c r="AM72" l="1"/>
  <c r="AM43"/>
  <c r="AM42"/>
  <c r="AM71"/>
  <c r="AM46" l="1"/>
  <c r="AM47" s="1"/>
  <c r="AM50" l="1"/>
  <c r="AM75" s="1"/>
  <c r="AM51" l="1"/>
  <c r="AM54" l="1"/>
  <c r="AM76"/>
  <c r="AM55" l="1"/>
  <c r="AM59" l="1"/>
  <c r="AM58"/>
  <c r="AM62" l="1"/>
  <c r="AM79" s="1"/>
  <c r="AM63" l="1"/>
  <c r="AM80" s="1"/>
  <c r="AM15"/>
  <c r="AN18" l="1"/>
  <c r="AN11"/>
  <c r="AN57" s="1"/>
  <c r="AM13"/>
  <c r="AN61" l="1"/>
  <c r="AN41"/>
  <c r="AN17"/>
  <c r="AN25"/>
  <c r="AN37"/>
  <c r="AN45"/>
  <c r="AN21"/>
  <c r="AN33"/>
  <c r="AN53"/>
  <c r="AN29"/>
  <c r="AN49"/>
  <c r="AN70" l="1"/>
  <c r="AN74"/>
  <c r="AN78"/>
  <c r="AN66"/>
  <c r="AN19"/>
  <c r="AN22" s="1"/>
  <c r="AN14"/>
  <c r="AN23" l="1"/>
  <c r="AN26" l="1"/>
  <c r="AN67" l="1"/>
  <c r="AN27"/>
  <c r="AN68" l="1"/>
  <c r="AN30"/>
  <c r="AN31" s="1"/>
  <c r="AN34" l="1"/>
  <c r="AN35" l="1"/>
  <c r="AN38" l="1"/>
  <c r="AN71" l="1"/>
  <c r="AN39"/>
  <c r="AN42" l="1"/>
  <c r="AN72"/>
  <c r="AN43" l="1"/>
  <c r="AN46" l="1"/>
  <c r="AN47" s="1"/>
  <c r="AN50" l="1"/>
  <c r="AN75" s="1"/>
  <c r="AN51" l="1"/>
  <c r="AN54" l="1"/>
  <c r="AN76"/>
  <c r="AN55" l="1"/>
  <c r="AN58" l="1"/>
  <c r="AN59" s="1"/>
  <c r="AN62" l="1"/>
  <c r="AN79" s="1"/>
  <c r="AN63" l="1"/>
  <c r="AO18" s="1"/>
  <c r="AN15"/>
  <c r="AO11" l="1"/>
  <c r="AO57" s="1"/>
  <c r="AN80"/>
  <c r="AN13"/>
  <c r="AO61" l="1"/>
  <c r="AO33"/>
  <c r="AO37"/>
  <c r="AO21"/>
  <c r="AO49"/>
  <c r="AO17"/>
  <c r="AO19" s="1"/>
  <c r="AO29"/>
  <c r="AO25"/>
  <c r="AO53"/>
  <c r="AO45"/>
  <c r="AO41"/>
  <c r="AO74" l="1"/>
  <c r="AO78"/>
  <c r="AO70"/>
  <c r="AO14"/>
  <c r="AO66"/>
  <c r="AO22"/>
  <c r="AO23" s="1"/>
  <c r="AO26" l="1"/>
  <c r="AO67" s="1"/>
  <c r="AO27" l="1"/>
  <c r="AO68" s="1"/>
  <c r="AO30" l="1"/>
  <c r="AO31" s="1"/>
  <c r="AO34" l="1"/>
  <c r="AO35" l="1"/>
  <c r="AO39" l="1"/>
  <c r="AO38"/>
  <c r="AO72" l="1"/>
  <c r="AO42"/>
  <c r="AO71"/>
  <c r="AO43" l="1"/>
  <c r="AO46" l="1"/>
  <c r="AO47" l="1"/>
  <c r="AO50" l="1"/>
  <c r="AO75" l="1"/>
  <c r="AO51"/>
  <c r="AO76" l="1"/>
  <c r="AO54"/>
  <c r="AO55" l="1"/>
  <c r="AO58" l="1"/>
  <c r="AO59" s="1"/>
  <c r="AO62" l="1"/>
  <c r="AO79" s="1"/>
  <c r="AO63" l="1"/>
  <c r="AP18" s="1"/>
  <c r="AO15"/>
  <c r="AP11" l="1"/>
  <c r="AP57" s="1"/>
  <c r="AO13"/>
  <c r="AO80"/>
  <c r="AP37" l="1"/>
  <c r="AP29"/>
  <c r="AP21"/>
  <c r="AP61"/>
  <c r="AP53"/>
  <c r="AP49"/>
  <c r="AP41"/>
  <c r="AP45"/>
  <c r="AP25"/>
  <c r="AP33"/>
  <c r="AP17"/>
  <c r="AP19" s="1"/>
  <c r="AP78" l="1"/>
  <c r="AP70"/>
  <c r="AP14"/>
  <c r="AP74"/>
  <c r="AP66"/>
  <c r="AP22"/>
  <c r="AP23" s="1"/>
  <c r="AP26" l="1"/>
  <c r="AP67" s="1"/>
  <c r="AP27" l="1"/>
  <c r="AP68" s="1"/>
  <c r="AP30" l="1"/>
  <c r="AP31" s="1"/>
  <c r="AP34" s="1"/>
  <c r="AP35" l="1"/>
  <c r="AP38" l="1"/>
  <c r="AP39" s="1"/>
  <c r="AP72" l="1"/>
  <c r="AP42"/>
  <c r="AP71"/>
  <c r="AP43" l="1"/>
  <c r="AP46" l="1"/>
  <c r="AP47" s="1"/>
  <c r="AP50" l="1"/>
  <c r="AP75" s="1"/>
  <c r="AP51" l="1"/>
  <c r="AP76" l="1"/>
  <c r="AP54"/>
  <c r="AP55" l="1"/>
  <c r="AP58" l="1"/>
  <c r="AP59" s="1"/>
  <c r="AP62" l="1"/>
  <c r="AP79" s="1"/>
  <c r="AP63" l="1"/>
  <c r="AP80" s="1"/>
  <c r="AP15"/>
  <c r="AQ11" l="1"/>
  <c r="AQ57" s="1"/>
  <c r="AP13"/>
  <c r="AQ18"/>
  <c r="AQ21" l="1"/>
  <c r="AQ37"/>
  <c r="AQ29"/>
  <c r="AQ49"/>
  <c r="AQ45"/>
  <c r="AQ41"/>
  <c r="AQ17"/>
  <c r="AQ19" s="1"/>
  <c r="AQ61"/>
  <c r="AQ25"/>
  <c r="AQ53"/>
  <c r="AQ33"/>
  <c r="AQ78" l="1"/>
  <c r="AQ70"/>
  <c r="AQ74"/>
  <c r="AQ14"/>
  <c r="AQ66"/>
  <c r="AQ22"/>
  <c r="AQ23" l="1"/>
  <c r="AQ26" l="1"/>
  <c r="AQ67" l="1"/>
  <c r="AQ27"/>
  <c r="AQ31" l="1"/>
  <c r="AQ30"/>
  <c r="AQ68"/>
  <c r="AQ34" l="1"/>
  <c r="AQ35" l="1"/>
  <c r="AQ38" l="1"/>
  <c r="AQ71" l="1"/>
  <c r="AQ39"/>
  <c r="AQ42" l="1"/>
  <c r="AQ43" s="1"/>
  <c r="AQ72"/>
  <c r="AQ47" l="1"/>
  <c r="AQ46"/>
  <c r="AQ50" l="1"/>
  <c r="AQ75" s="1"/>
  <c r="AQ51" l="1"/>
  <c r="AQ54" l="1"/>
  <c r="AQ76"/>
  <c r="AQ55" l="1"/>
  <c r="AQ58" l="1"/>
  <c r="AQ59" l="1"/>
  <c r="AQ63" l="1"/>
  <c r="AQ62"/>
  <c r="AQ80" l="1"/>
  <c r="AQ13"/>
  <c r="AQ79"/>
  <c r="AQ15"/>
  <c r="C5" i="4" l="1"/>
  <c r="H7"/>
  <c r="C6"/>
  <c r="I6"/>
  <c r="AB92" i="12" s="1"/>
  <c r="I5" i="4" l="1"/>
  <c r="AA93" i="12"/>
  <c r="C7" i="4"/>
  <c r="D5" s="1"/>
  <c r="J6"/>
  <c r="AC92" i="12" s="1"/>
  <c r="D6" i="4"/>
  <c r="I7" l="1"/>
  <c r="AB91" i="12"/>
  <c r="I37" i="2"/>
  <c r="N51" i="12" s="1"/>
  <c r="D7" i="4"/>
  <c r="E5" s="1"/>
  <c r="K6"/>
  <c r="AD92" i="12" s="1"/>
  <c r="E6" i="4"/>
  <c r="J5" l="1"/>
  <c r="AB93" i="12"/>
  <c r="E7" i="4"/>
  <c r="F5" s="1"/>
  <c r="F6"/>
  <c r="L6"/>
  <c r="AE92" i="12" s="1"/>
  <c r="AC91" l="1"/>
  <c r="J7" i="4"/>
  <c r="J37" i="2"/>
  <c r="O51" i="12" s="1"/>
  <c r="F7" i="4"/>
  <c r="K5" l="1"/>
  <c r="AC93" i="12"/>
  <c r="C9" i="4"/>
  <c r="H10"/>
  <c r="I9"/>
  <c r="AB95" i="12" s="1"/>
  <c r="H16" i="4"/>
  <c r="AD91" i="12" l="1"/>
  <c r="K37" i="2"/>
  <c r="P51" i="12" s="1"/>
  <c r="K7" i="4"/>
  <c r="H17"/>
  <c r="AA98" i="12"/>
  <c r="I8" i="4"/>
  <c r="AA96" i="12"/>
  <c r="C10" i="4"/>
  <c r="D8" s="1"/>
  <c r="D9"/>
  <c r="C16"/>
  <c r="C17" s="1"/>
  <c r="J9"/>
  <c r="AC95" i="12" s="1"/>
  <c r="I16" i="4"/>
  <c r="AB98" i="12" s="1"/>
  <c r="I38" i="2" l="1"/>
  <c r="N52" i="12" s="1"/>
  <c r="N53" s="1"/>
  <c r="N55" s="1"/>
  <c r="AB94"/>
  <c r="L5" i="4"/>
  <c r="AD93" i="12"/>
  <c r="I4" i="4"/>
  <c r="AA99" i="12"/>
  <c r="I10" i="4"/>
  <c r="K9"/>
  <c r="AD95" i="12" s="1"/>
  <c r="J16" i="4"/>
  <c r="AC98" i="12" s="1"/>
  <c r="D4" i="4"/>
  <c r="C46"/>
  <c r="D10"/>
  <c r="E8" s="1"/>
  <c r="E9"/>
  <c r="D16"/>
  <c r="J8" l="1"/>
  <c r="AC94" i="12" s="1"/>
  <c r="AB96"/>
  <c r="I39" i="2"/>
  <c r="I41" s="1"/>
  <c r="AE91" i="12"/>
  <c r="L37" i="2"/>
  <c r="L7" i="4"/>
  <c r="AE93" i="12" s="1"/>
  <c r="I17" i="4"/>
  <c r="AB90" i="12"/>
  <c r="L9" i="4"/>
  <c r="AE95" i="12" s="1"/>
  <c r="K16" i="4"/>
  <c r="AD98" i="12" s="1"/>
  <c r="D17" i="4"/>
  <c r="E10"/>
  <c r="F8" s="1"/>
  <c r="F9"/>
  <c r="E16"/>
  <c r="I4" i="10"/>
  <c r="J4" i="4" l="1"/>
  <c r="AC90" i="12" s="1"/>
  <c r="AB99"/>
  <c r="J38" i="2"/>
  <c r="O52" i="12" s="1"/>
  <c r="O53" s="1"/>
  <c r="O55" s="1"/>
  <c r="J10" i="4"/>
  <c r="I6" i="10"/>
  <c r="I9" s="1"/>
  <c r="I13" s="1"/>
  <c r="I16" s="1"/>
  <c r="I17" s="1"/>
  <c r="Q51" i="12"/>
  <c r="M37" i="2"/>
  <c r="N37" s="1"/>
  <c r="O37" s="1"/>
  <c r="P37" s="1"/>
  <c r="Q37" s="1"/>
  <c r="L16" i="4"/>
  <c r="AE98" i="12" s="1"/>
  <c r="E4" i="4"/>
  <c r="D46"/>
  <c r="F10"/>
  <c r="F16"/>
  <c r="J17" l="1"/>
  <c r="AC99" i="12" s="1"/>
  <c r="K8" i="4"/>
  <c r="AC96" i="12"/>
  <c r="J39" i="2"/>
  <c r="J41" s="1"/>
  <c r="E17" i="4"/>
  <c r="E46" s="1"/>
  <c r="R37" i="2"/>
  <c r="Q24" i="11"/>
  <c r="I12" i="10"/>
  <c r="I14" s="1"/>
  <c r="J11" s="1"/>
  <c r="I30" i="4"/>
  <c r="I33" i="2"/>
  <c r="N47" i="12" s="1"/>
  <c r="K4" i="4" l="1"/>
  <c r="AD90" i="12" s="1"/>
  <c r="J6" i="10"/>
  <c r="AD94" i="12"/>
  <c r="K38" i="2"/>
  <c r="K10" i="4"/>
  <c r="F4"/>
  <c r="F17" s="1"/>
  <c r="F46" s="1"/>
  <c r="I37"/>
  <c r="AB107" i="12" s="1"/>
  <c r="S37" i="2"/>
  <c r="U24" i="11"/>
  <c r="R24"/>
  <c r="I7" i="3"/>
  <c r="I34" i="2"/>
  <c r="K17" i="4" l="1"/>
  <c r="AD99" i="12" s="1"/>
  <c r="P52"/>
  <c r="P53" s="1"/>
  <c r="P55" s="1"/>
  <c r="K39" i="2"/>
  <c r="L8" i="4"/>
  <c r="AD96" i="12"/>
  <c r="F14"/>
  <c r="N32"/>
  <c r="N34" s="1"/>
  <c r="N46" s="1"/>
  <c r="H46" i="4"/>
  <c r="AA112" i="12" s="1"/>
  <c r="J13" i="3"/>
  <c r="T37" i="2"/>
  <c r="I20" i="4"/>
  <c r="AB102" i="12" s="1"/>
  <c r="L26" i="11"/>
  <c r="AJ24"/>
  <c r="AL24" s="1"/>
  <c r="F25"/>
  <c r="G4" i="12" s="1"/>
  <c r="I48" i="4"/>
  <c r="AB114" i="12" s="1"/>
  <c r="L4" i="4" l="1"/>
  <c r="L17" s="1"/>
  <c r="AE99" i="12" s="1"/>
  <c r="K41" i="2"/>
  <c r="K6" i="10"/>
  <c r="AE94" i="12"/>
  <c r="L38" i="2"/>
  <c r="L10" i="4"/>
  <c r="AE96" i="12" s="1"/>
  <c r="U62"/>
  <c r="I26" i="3"/>
  <c r="I46" s="1"/>
  <c r="I48" s="1"/>
  <c r="J47" s="1"/>
  <c r="U37" i="2"/>
  <c r="G25" i="11"/>
  <c r="J6" i="2"/>
  <c r="O23" i="12" s="1"/>
  <c r="O25" s="1"/>
  <c r="AC25" i="11"/>
  <c r="I25" i="4"/>
  <c r="AE90" i="12" l="1"/>
  <c r="I39" i="4"/>
  <c r="AB103" i="12"/>
  <c r="Q52"/>
  <c r="Q53" s="1"/>
  <c r="Q55" s="1"/>
  <c r="L39" i="2"/>
  <c r="M38"/>
  <c r="U67" i="12"/>
  <c r="V37" i="2"/>
  <c r="J8"/>
  <c r="AG25" i="11"/>
  <c r="AI25" s="1"/>
  <c r="I46" i="4" l="1"/>
  <c r="AB112" i="12" s="1"/>
  <c r="AB109"/>
  <c r="M39" i="2"/>
  <c r="M6" i="10" s="1"/>
  <c r="N38" i="2"/>
  <c r="L41"/>
  <c r="L6" i="10"/>
  <c r="U82" i="12"/>
  <c r="U84" s="1"/>
  <c r="V83" s="1"/>
  <c r="J21" i="4"/>
  <c r="W37" i="2"/>
  <c r="AH25" i="11"/>
  <c r="J25"/>
  <c r="G6" i="12" s="1"/>
  <c r="AD26" i="11"/>
  <c r="N39" i="2" l="1"/>
  <c r="N6" i="10" s="1"/>
  <c r="O38" i="2"/>
  <c r="J18" i="3"/>
  <c r="X37" i="2"/>
  <c r="Z26" i="11"/>
  <c r="AT25"/>
  <c r="AK25"/>
  <c r="K25"/>
  <c r="N25" s="1"/>
  <c r="P25" s="1"/>
  <c r="AU25" l="1"/>
  <c r="G15" i="12"/>
  <c r="P38" i="2"/>
  <c r="O39"/>
  <c r="O6" i="10" s="1"/>
  <c r="G12" i="12"/>
  <c r="AB26" i="11"/>
  <c r="AS26" s="1"/>
  <c r="Y37" i="2"/>
  <c r="AW25" i="11"/>
  <c r="J15" i="2"/>
  <c r="O29" i="12" s="1"/>
  <c r="AA26" i="11"/>
  <c r="W27" l="1"/>
  <c r="Q38" i="2"/>
  <c r="P39"/>
  <c r="P6" i="10" s="1"/>
  <c r="Z37" i="2"/>
  <c r="J18"/>
  <c r="J20" s="1"/>
  <c r="J5" i="3" s="1"/>
  <c r="J11"/>
  <c r="K15"/>
  <c r="J32" i="2" l="1"/>
  <c r="J4" i="10" s="1"/>
  <c r="J9" s="1"/>
  <c r="J13" s="1"/>
  <c r="J16" s="1"/>
  <c r="J17" s="1"/>
  <c r="J33" i="2" s="1"/>
  <c r="O47" i="12" s="1"/>
  <c r="Q39" i="2"/>
  <c r="Q6" i="10" s="1"/>
  <c r="R38" i="2"/>
  <c r="AA37"/>
  <c r="S38" l="1"/>
  <c r="R39"/>
  <c r="R6" i="10" s="1"/>
  <c r="J30" i="4"/>
  <c r="J37" s="1"/>
  <c r="AC107" i="12" s="1"/>
  <c r="Q25" i="11"/>
  <c r="R25" s="1"/>
  <c r="J12" i="10"/>
  <c r="J14" s="1"/>
  <c r="K11" s="1"/>
  <c r="AB37" i="2"/>
  <c r="J7" i="3"/>
  <c r="J34" i="2"/>
  <c r="S39" l="1"/>
  <c r="S6" i="10" s="1"/>
  <c r="T38" i="2"/>
  <c r="AJ25" i="11"/>
  <c r="AL25" s="1"/>
  <c r="AC26" s="1"/>
  <c r="U25"/>
  <c r="K13" i="3"/>
  <c r="AC37" i="2"/>
  <c r="J48" i="4"/>
  <c r="AC114" i="12" s="1"/>
  <c r="U38" i="2" l="1"/>
  <c r="T39"/>
  <c r="T6" i="10" s="1"/>
  <c r="V62" i="12"/>
  <c r="G14"/>
  <c r="O32"/>
  <c r="O34" s="1"/>
  <c r="O46" s="1"/>
  <c r="J20" i="4"/>
  <c r="F26" i="11"/>
  <c r="H4" i="12" s="1"/>
  <c r="L27" i="11"/>
  <c r="J26" i="3"/>
  <c r="J46" s="1"/>
  <c r="J48" s="1"/>
  <c r="K47" s="1"/>
  <c r="AD37" i="2"/>
  <c r="AG26" i="11"/>
  <c r="J25" i="4" l="1"/>
  <c r="AC102" i="12"/>
  <c r="V38" i="2"/>
  <c r="U39"/>
  <c r="U6" i="10" s="1"/>
  <c r="V67" i="12"/>
  <c r="K6" i="2"/>
  <c r="AI26" i="11"/>
  <c r="AD27" s="1"/>
  <c r="G26"/>
  <c r="AE37" i="2"/>
  <c r="Z27" i="11"/>
  <c r="AT26"/>
  <c r="H15" i="12" s="1"/>
  <c r="AH26" i="11"/>
  <c r="J26"/>
  <c r="H6" i="12" s="1"/>
  <c r="J39" i="4" l="1"/>
  <c r="AC103" i="12"/>
  <c r="V39" i="2"/>
  <c r="V6" i="10" s="1"/>
  <c r="W38" i="2"/>
  <c r="V82" i="12"/>
  <c r="V84" s="1"/>
  <c r="W83" s="1"/>
  <c r="K8" i="2"/>
  <c r="K21" i="4" s="1"/>
  <c r="K18" i="3" s="1"/>
  <c r="P23" i="12"/>
  <c r="P25" s="1"/>
  <c r="AB27" i="11"/>
  <c r="AS27" s="1"/>
  <c r="AF37" i="2"/>
  <c r="AU26" i="11"/>
  <c r="AW26"/>
  <c r="AA27"/>
  <c r="AK26"/>
  <c r="K26"/>
  <c r="K15" i="2" s="1"/>
  <c r="P29" i="12" s="1"/>
  <c r="J46" i="4" l="1"/>
  <c r="AC112" i="12" s="1"/>
  <c r="AC109"/>
  <c r="W39" i="2"/>
  <c r="W6" i="10" s="1"/>
  <c r="X38" i="2"/>
  <c r="W28" i="11"/>
  <c r="AG37" i="2"/>
  <c r="N26" i="11"/>
  <c r="P26" s="1"/>
  <c r="K18" i="2"/>
  <c r="K20" s="1"/>
  <c r="K5" i="3" s="1"/>
  <c r="K32" i="2" l="1"/>
  <c r="K4" i="10" s="1"/>
  <c r="Y38" i="2"/>
  <c r="X39"/>
  <c r="X6" i="10" s="1"/>
  <c r="H12" i="12"/>
  <c r="AH37" i="2"/>
  <c r="L15" i="3"/>
  <c r="K11"/>
  <c r="Z38" i="2" l="1"/>
  <c r="Y39"/>
  <c r="Y6" i="10" s="1"/>
  <c r="K9"/>
  <c r="K12" s="1"/>
  <c r="AI37" i="2"/>
  <c r="AA38" l="1"/>
  <c r="Z39"/>
  <c r="Z6" i="10" s="1"/>
  <c r="M34" i="12"/>
  <c r="M46" s="1"/>
  <c r="K13" i="10"/>
  <c r="K16" s="1"/>
  <c r="K17" s="1"/>
  <c r="Q26" i="11" s="1"/>
  <c r="AJ37" i="2"/>
  <c r="AB38" l="1"/>
  <c r="AA39"/>
  <c r="AA6" i="10" s="1"/>
  <c r="K14"/>
  <c r="L11" s="1"/>
  <c r="K30" i="4"/>
  <c r="K37" s="1"/>
  <c r="AD107" i="12" s="1"/>
  <c r="K33" i="2"/>
  <c r="AK37"/>
  <c r="U26" i="11"/>
  <c r="R26"/>
  <c r="AC38" i="2" l="1"/>
  <c r="AB39"/>
  <c r="AB6" i="10" s="1"/>
  <c r="K34" i="2"/>
  <c r="P47" i="12"/>
  <c r="H14"/>
  <c r="AJ26" i="11"/>
  <c r="AL26" s="1"/>
  <c r="AC27" s="1"/>
  <c r="K7" i="3"/>
  <c r="L13" s="1"/>
  <c r="AL37" i="2"/>
  <c r="K20" i="4"/>
  <c r="AD102" i="12" s="1"/>
  <c r="L28" i="11"/>
  <c r="F27"/>
  <c r="I4" i="12" s="1"/>
  <c r="K48" i="4" l="1"/>
  <c r="AD114" i="12" s="1"/>
  <c r="AD38" i="2"/>
  <c r="AC39"/>
  <c r="AC6" i="10" s="1"/>
  <c r="W62" i="12"/>
  <c r="W67" s="1"/>
  <c r="W82" s="1"/>
  <c r="P32"/>
  <c r="P34" s="1"/>
  <c r="P46" s="1"/>
  <c r="AM37" i="2"/>
  <c r="K25" i="4"/>
  <c r="L6" i="2"/>
  <c r="Q23" i="12" s="1"/>
  <c r="Q25" s="1"/>
  <c r="G27" i="11"/>
  <c r="AG27"/>
  <c r="AI27" s="1"/>
  <c r="K39" i="4" l="1"/>
  <c r="AD103" i="12"/>
  <c r="AD39" i="2"/>
  <c r="AD6" i="10" s="1"/>
  <c r="AE38" i="2"/>
  <c r="K26" i="3"/>
  <c r="K46" s="1"/>
  <c r="K48" s="1"/>
  <c r="L47" s="1"/>
  <c r="W84" i="12"/>
  <c r="X83" s="1"/>
  <c r="AN37" i="2"/>
  <c r="L8"/>
  <c r="AH27" i="11"/>
  <c r="J27"/>
  <c r="I6" i="12" s="1"/>
  <c r="AD28" i="11"/>
  <c r="K46" i="4" l="1"/>
  <c r="AD112" i="12" s="1"/>
  <c r="AD109"/>
  <c r="AE39" i="2"/>
  <c r="AE6" i="10" s="1"/>
  <c r="AF38" i="2"/>
  <c r="L21" i="4"/>
  <c r="AO37" i="2"/>
  <c r="AT27" i="11"/>
  <c r="I15" i="12" s="1"/>
  <c r="AK27" i="11"/>
  <c r="K27"/>
  <c r="N27" s="1"/>
  <c r="AG38" i="2" l="1"/>
  <c r="AF39"/>
  <c r="AF6" i="10" s="1"/>
  <c r="L18" i="3"/>
  <c r="AP37" i="2"/>
  <c r="L15"/>
  <c r="Q29" i="12" s="1"/>
  <c r="P27" i="11"/>
  <c r="AW27"/>
  <c r="AU27"/>
  <c r="E17" i="12" s="1"/>
  <c r="Z28" i="11"/>
  <c r="AG39" i="2" l="1"/>
  <c r="AG6" i="10" s="1"/>
  <c r="AH38" i="2"/>
  <c r="I12" i="12"/>
  <c r="AB28" i="11"/>
  <c r="AS28" s="1"/>
  <c r="AQ37" i="2"/>
  <c r="L11" i="3"/>
  <c r="L18" i="2"/>
  <c r="L20" s="1"/>
  <c r="L5" i="3" s="1"/>
  <c r="AA28" i="11"/>
  <c r="L32" i="2" l="1"/>
  <c r="L4" i="10" s="1"/>
  <c r="L9" s="1"/>
  <c r="L12" s="1"/>
  <c r="W29" i="11"/>
  <c r="AH39" i="2"/>
  <c r="AH6" i="10" s="1"/>
  <c r="AI38" i="2"/>
  <c r="AR37"/>
  <c r="AL39"/>
  <c r="AJ38" l="1"/>
  <c r="AI39"/>
  <c r="AI6" i="10" s="1"/>
  <c r="L13"/>
  <c r="L16" s="1"/>
  <c r="L17" s="1"/>
  <c r="L30" i="4" s="1"/>
  <c r="AS37" i="2"/>
  <c r="AL6" i="10"/>
  <c r="AM39" i="2"/>
  <c r="AK38" l="1"/>
  <c r="AK39" s="1"/>
  <c r="AK6" i="10" s="1"/>
  <c r="AJ39" i="2"/>
  <c r="AJ6" i="10" s="1"/>
  <c r="L33" i="2"/>
  <c r="L14" i="10"/>
  <c r="M11" s="1"/>
  <c r="Q27" i="11"/>
  <c r="U27" s="1"/>
  <c r="L37" i="4"/>
  <c r="AE107" i="12" s="1"/>
  <c r="AT37" i="2"/>
  <c r="AM6" i="10"/>
  <c r="AN39" i="2"/>
  <c r="L7" i="3" l="1"/>
  <c r="Q47" i="12"/>
  <c r="I14"/>
  <c r="L29" i="11"/>
  <c r="R27"/>
  <c r="F28"/>
  <c r="G28" s="1"/>
  <c r="L34" i="2"/>
  <c r="L20" i="4"/>
  <c r="AU37" i="2"/>
  <c r="AN6" i="10"/>
  <c r="AO39" i="2"/>
  <c r="L48" i="4" l="1"/>
  <c r="AE114" i="12" s="1"/>
  <c r="X62"/>
  <c r="X67" s="1"/>
  <c r="X82" s="1"/>
  <c r="L25" i="4"/>
  <c r="AE102" i="12"/>
  <c r="AJ27" i="11"/>
  <c r="AL27" s="1"/>
  <c r="AC28" s="1"/>
  <c r="AG28" s="1"/>
  <c r="AH28" s="1"/>
  <c r="Q32" i="12"/>
  <c r="Q34" s="1"/>
  <c r="Q46" s="1"/>
  <c r="AO6" i="10"/>
  <c r="Z29" i="11"/>
  <c r="AB29" s="1"/>
  <c r="AS29" s="1"/>
  <c r="AP39" i="2"/>
  <c r="L39" i="4" l="1"/>
  <c r="AE103" i="12"/>
  <c r="L26" i="3"/>
  <c r="L46" s="1"/>
  <c r="L48" s="1"/>
  <c r="X84" i="12"/>
  <c r="W30" i="11"/>
  <c r="J28"/>
  <c r="AI28"/>
  <c r="AT28" s="1"/>
  <c r="AW28" s="1"/>
  <c r="AP6" i="10"/>
  <c r="AA29" i="11"/>
  <c r="AK28"/>
  <c r="K28"/>
  <c r="AQ39" i="2"/>
  <c r="L46" i="4" l="1"/>
  <c r="AE112" i="12" s="1"/>
  <c r="AE109"/>
  <c r="AD29" i="11"/>
  <c r="AU28"/>
  <c r="N28"/>
  <c r="P28" s="1"/>
  <c r="AQ6" i="10"/>
  <c r="AR39" i="2"/>
  <c r="AR6" i="10" l="1"/>
  <c r="M4"/>
  <c r="M9" s="1"/>
  <c r="AS39" i="2"/>
  <c r="AS6" i="10" l="1"/>
  <c r="M13"/>
  <c r="M16" s="1"/>
  <c r="M17" s="1"/>
  <c r="M12"/>
  <c r="AT39" i="2"/>
  <c r="AT6" i="10" l="1"/>
  <c r="Q28" i="11"/>
  <c r="R28" s="1"/>
  <c r="AJ28" s="1"/>
  <c r="AL28" s="1"/>
  <c r="M14" i="10"/>
  <c r="N11" s="1"/>
  <c r="AU39" i="2"/>
  <c r="AU6" i="10" l="1"/>
  <c r="U28" i="11"/>
  <c r="AC29"/>
  <c r="F29" l="1"/>
  <c r="G29" s="1"/>
  <c r="L30"/>
  <c r="AG29"/>
  <c r="AI29" s="1"/>
  <c r="AH29" l="1"/>
  <c r="J29"/>
  <c r="AD30"/>
  <c r="AK29" l="1"/>
  <c r="K29"/>
  <c r="N29" s="1"/>
  <c r="AT29" l="1"/>
  <c r="P29"/>
  <c r="AU29" l="1"/>
  <c r="AW29"/>
  <c r="Z30"/>
  <c r="N4" i="10"/>
  <c r="N9" s="1"/>
  <c r="AB30" i="11" l="1"/>
  <c r="AS30" s="1"/>
  <c r="N12" i="10"/>
  <c r="N13"/>
  <c r="N16" s="1"/>
  <c r="N17" s="1"/>
  <c r="AA30" i="11"/>
  <c r="W31" l="1"/>
  <c r="Q29"/>
  <c r="R29" s="1"/>
  <c r="AJ29" s="1"/>
  <c r="AL29" s="1"/>
  <c r="N14" i="10"/>
  <c r="O11" s="1"/>
  <c r="U29" i="11" l="1"/>
  <c r="AC30"/>
  <c r="F30" l="1"/>
  <c r="G30" s="1"/>
  <c r="L31"/>
  <c r="AG30"/>
  <c r="AI30" l="1"/>
  <c r="AT30" s="1"/>
  <c r="AH30"/>
  <c r="J30"/>
  <c r="AD31" l="1"/>
  <c r="AU30"/>
  <c r="AW30"/>
  <c r="Z31"/>
  <c r="AK30"/>
  <c r="K30"/>
  <c r="N30" s="1"/>
  <c r="AB31" l="1"/>
  <c r="AS31" s="1"/>
  <c r="P30"/>
  <c r="AA31"/>
  <c r="W32" l="1"/>
  <c r="O4" i="10"/>
  <c r="O9" s="1"/>
  <c r="O12" l="1"/>
  <c r="O13"/>
  <c r="O16" s="1"/>
  <c r="O17" s="1"/>
  <c r="Q30" i="11" l="1"/>
  <c r="R30" s="1"/>
  <c r="AJ30" s="1"/>
  <c r="AL30" s="1"/>
  <c r="O14" i="10"/>
  <c r="P11" s="1"/>
  <c r="U30" i="11" l="1"/>
  <c r="AC31"/>
  <c r="F31" l="1"/>
  <c r="G31" s="1"/>
  <c r="L32"/>
  <c r="AG31"/>
  <c r="AI31" s="1"/>
  <c r="AH31" l="1"/>
  <c r="J31"/>
  <c r="AD32"/>
  <c r="AT31" l="1"/>
  <c r="AK31"/>
  <c r="K31"/>
  <c r="N31" s="1"/>
  <c r="P31" l="1"/>
  <c r="Z32"/>
  <c r="AW31"/>
  <c r="AU31"/>
  <c r="AB32" l="1"/>
  <c r="W33" s="1"/>
  <c r="P4" i="10"/>
  <c r="P9" s="1"/>
  <c r="AA32" i="11"/>
  <c r="P13" i="10" l="1"/>
  <c r="P16" s="1"/>
  <c r="P17" s="1"/>
  <c r="P12"/>
  <c r="Q31" i="11" l="1"/>
  <c r="R31" s="1"/>
  <c r="AJ31" s="1"/>
  <c r="AL31" s="1"/>
  <c r="P14" i="10"/>
  <c r="Q11" s="1"/>
  <c r="U31" i="11" l="1"/>
  <c r="AC32"/>
  <c r="F32" l="1"/>
  <c r="G32" s="1"/>
  <c r="L33"/>
  <c r="AG32"/>
  <c r="AI32" s="1"/>
  <c r="AS32" s="1"/>
  <c r="AH32" l="1"/>
  <c r="J32"/>
  <c r="AD33"/>
  <c r="Z33" l="1"/>
  <c r="AT32"/>
  <c r="AK32"/>
  <c r="K32"/>
  <c r="N32" s="1"/>
  <c r="AB33" l="1"/>
  <c r="AS33" s="1"/>
  <c r="P32"/>
  <c r="AW32"/>
  <c r="AU32"/>
  <c r="AA33"/>
  <c r="W34" l="1"/>
  <c r="F17" i="12"/>
  <c r="Q4" i="10"/>
  <c r="Q9" s="1"/>
  <c r="Q12" l="1"/>
  <c r="Q13"/>
  <c r="Q16" s="1"/>
  <c r="Q17" s="1"/>
  <c r="Q14" l="1"/>
  <c r="R11" s="1"/>
  <c r="Q32" i="11"/>
  <c r="R32" s="1"/>
  <c r="AJ32" s="1"/>
  <c r="AL32" s="1"/>
  <c r="U32" l="1"/>
  <c r="AC33"/>
  <c r="F33" l="1"/>
  <c r="G33" s="1"/>
  <c r="L34"/>
  <c r="AG33"/>
  <c r="AI33" s="1"/>
  <c r="AD34" l="1"/>
  <c r="AT33"/>
  <c r="AH33"/>
  <c r="J33"/>
  <c r="Z34" l="1"/>
  <c r="AU33"/>
  <c r="AW33"/>
  <c r="AK33"/>
  <c r="K33"/>
  <c r="N33" s="1"/>
  <c r="AB34" l="1"/>
  <c r="AS34" s="1"/>
  <c r="AA34"/>
  <c r="P33"/>
  <c r="W35" l="1"/>
  <c r="R4" i="10"/>
  <c r="R9" s="1"/>
  <c r="R13" l="1"/>
  <c r="R16" s="1"/>
  <c r="R17" s="1"/>
  <c r="M48" i="12" s="1"/>
  <c r="R12" i="10"/>
  <c r="Q33" i="11" l="1"/>
  <c r="R33" s="1"/>
  <c r="AJ33" s="1"/>
  <c r="AL33" s="1"/>
  <c r="R14" i="10"/>
  <c r="S11" s="1"/>
  <c r="U33" i="11" l="1"/>
  <c r="AC34"/>
  <c r="F34" l="1"/>
  <c r="G34" s="1"/>
  <c r="L35"/>
  <c r="AG34"/>
  <c r="AI34" s="1"/>
  <c r="AH34" l="1"/>
  <c r="J34"/>
  <c r="AD35"/>
  <c r="AT34" l="1"/>
  <c r="AK34"/>
  <c r="K34"/>
  <c r="N34" s="1"/>
  <c r="P34" l="1"/>
  <c r="Z35"/>
  <c r="AW34"/>
  <c r="AU34"/>
  <c r="AB35" l="1"/>
  <c r="AS35" s="1"/>
  <c r="S4" i="10"/>
  <c r="S9" s="1"/>
  <c r="AA35" i="11"/>
  <c r="W36" l="1"/>
  <c r="S13" i="10"/>
  <c r="S16" s="1"/>
  <c r="S17" s="1"/>
  <c r="N48" i="12" s="1"/>
  <c r="S12" i="10"/>
  <c r="Q34" i="11" l="1"/>
  <c r="R34" s="1"/>
  <c r="AJ34" s="1"/>
  <c r="AL34" s="1"/>
  <c r="S14" i="10"/>
  <c r="T11" s="1"/>
  <c r="U34" i="11" l="1"/>
  <c r="AC35"/>
  <c r="F35" l="1"/>
  <c r="G35" s="1"/>
  <c r="L36"/>
  <c r="AG35"/>
  <c r="AI35" s="1"/>
  <c r="AH35" l="1"/>
  <c r="J35"/>
  <c r="AD36"/>
  <c r="AT35" l="1"/>
  <c r="AK35"/>
  <c r="K35"/>
  <c r="N35" s="1"/>
  <c r="P35" l="1"/>
  <c r="AW35"/>
  <c r="AU35"/>
  <c r="Z36"/>
  <c r="AB36" l="1"/>
  <c r="AS36" s="1"/>
  <c r="AA36"/>
  <c r="T4" i="10"/>
  <c r="T9" s="1"/>
  <c r="W37" i="11" l="1"/>
  <c r="T13" i="10"/>
  <c r="T16" s="1"/>
  <c r="T17" s="1"/>
  <c r="O48" i="12" s="1"/>
  <c r="T12" i="10"/>
  <c r="Q35" i="11" l="1"/>
  <c r="R35" s="1"/>
  <c r="AJ35" s="1"/>
  <c r="AL35" s="1"/>
  <c r="T14" i="10"/>
  <c r="U11" s="1"/>
  <c r="U35" i="11" l="1"/>
  <c r="AC36"/>
  <c r="F36" l="1"/>
  <c r="G36" s="1"/>
  <c r="L37"/>
  <c r="AG36"/>
  <c r="AI36" s="1"/>
  <c r="AH36" l="1"/>
  <c r="J36"/>
  <c r="AD37"/>
  <c r="AT36" l="1"/>
  <c r="K36"/>
  <c r="N36" s="1"/>
  <c r="AK36"/>
  <c r="P36" l="1"/>
  <c r="AU36"/>
  <c r="AW36"/>
  <c r="Z37"/>
  <c r="AB37" l="1"/>
  <c r="AS37" s="1"/>
  <c r="AA37"/>
  <c r="U4" i="10"/>
  <c r="U9" s="1"/>
  <c r="W38" i="11" l="1"/>
  <c r="U12" i="10"/>
  <c r="U13"/>
  <c r="U16" s="1"/>
  <c r="U17" s="1"/>
  <c r="P48" i="12" s="1"/>
  <c r="Q36" i="11" l="1"/>
  <c r="R36" s="1"/>
  <c r="AJ36" s="1"/>
  <c r="AL36" s="1"/>
  <c r="U14" i="10"/>
  <c r="V11" s="1"/>
  <c r="U36" i="11" l="1"/>
  <c r="AC37"/>
  <c r="F37" l="1"/>
  <c r="G37" s="1"/>
  <c r="L38"/>
  <c r="AG37"/>
  <c r="AI37" s="1"/>
  <c r="AH37" l="1"/>
  <c r="J37"/>
  <c r="AD38"/>
  <c r="AT37" l="1"/>
  <c r="AK37"/>
  <c r="K37"/>
  <c r="N37" s="1"/>
  <c r="P37" l="1"/>
  <c r="Z38"/>
  <c r="AU37"/>
  <c r="AW37"/>
  <c r="AB38" l="1"/>
  <c r="AS38" s="1"/>
  <c r="V4" i="10"/>
  <c r="V9" s="1"/>
  <c r="AA38" i="11"/>
  <c r="W39" l="1"/>
  <c r="V13" i="10"/>
  <c r="V16" s="1"/>
  <c r="V17" s="1"/>
  <c r="Q48" i="12" s="1"/>
  <c r="V12" i="10"/>
  <c r="Q37" i="11" l="1"/>
  <c r="R37" s="1"/>
  <c r="AJ37" s="1"/>
  <c r="AL37" s="1"/>
  <c r="V14" i="10"/>
  <c r="W11" s="1"/>
  <c r="U37" i="11" l="1"/>
  <c r="AC38"/>
  <c r="F38" l="1"/>
  <c r="G38" s="1"/>
  <c r="L39"/>
  <c r="AG38"/>
  <c r="AI38" s="1"/>
  <c r="AH38" l="1"/>
  <c r="J38"/>
  <c r="AD39"/>
  <c r="AT38" l="1"/>
  <c r="AK38"/>
  <c r="K38"/>
  <c r="N38" s="1"/>
  <c r="Z39"/>
  <c r="AB39" l="1"/>
  <c r="AS39" s="1"/>
  <c r="P38"/>
  <c r="AA39"/>
  <c r="AU38"/>
  <c r="AW38"/>
  <c r="W40" l="1"/>
  <c r="W4" i="10"/>
  <c r="W9" s="1"/>
  <c r="W13" l="1"/>
  <c r="W16" s="1"/>
  <c r="W17" s="1"/>
  <c r="W12"/>
  <c r="Q38" i="11" l="1"/>
  <c r="R38" s="1"/>
  <c r="AJ38" s="1"/>
  <c r="AL38" s="1"/>
  <c r="W14" i="10"/>
  <c r="X11" s="1"/>
  <c r="U38" i="11" l="1"/>
  <c r="AC39"/>
  <c r="F39" l="1"/>
  <c r="G39" s="1"/>
  <c r="L40"/>
  <c r="AG39"/>
  <c r="AI39" s="1"/>
  <c r="AH39" l="1"/>
  <c r="J39"/>
  <c r="AD40"/>
  <c r="AT39" l="1"/>
  <c r="AK39"/>
  <c r="K39"/>
  <c r="N39" s="1"/>
  <c r="P39" l="1"/>
  <c r="Z40"/>
  <c r="AW39"/>
  <c r="AU39"/>
  <c r="AB40" l="1"/>
  <c r="AS40" s="1"/>
  <c r="AA40"/>
  <c r="X4" i="10"/>
  <c r="X9" s="1"/>
  <c r="W41" i="11" l="1"/>
  <c r="X13" i="10"/>
  <c r="X16" s="1"/>
  <c r="X17" s="1"/>
  <c r="X12"/>
  <c r="Q39" i="11" l="1"/>
  <c r="R39" s="1"/>
  <c r="AJ39" s="1"/>
  <c r="AL39" s="1"/>
  <c r="X14" i="10"/>
  <c r="Y11" s="1"/>
  <c r="U39" i="11" l="1"/>
  <c r="AC40"/>
  <c r="F40" l="1"/>
  <c r="G40" s="1"/>
  <c r="L41"/>
  <c r="AG40"/>
  <c r="AI40" s="1"/>
  <c r="AH40" l="1"/>
  <c r="J40"/>
  <c r="AD41"/>
  <c r="Z41" l="1"/>
  <c r="AT40"/>
  <c r="AK40"/>
  <c r="K40"/>
  <c r="N40" s="1"/>
  <c r="W42" l="1"/>
  <c r="AB41"/>
  <c r="AS41" s="1"/>
  <c r="P40"/>
  <c r="AU40"/>
  <c r="AW40"/>
  <c r="AA41"/>
  <c r="Y4" i="10" l="1"/>
  <c r="Y9" s="1"/>
  <c r="Y12" l="1"/>
  <c r="Y13"/>
  <c r="Y16" s="1"/>
  <c r="Y17" s="1"/>
  <c r="Q40" i="11" l="1"/>
  <c r="U40" s="1"/>
  <c r="L42" s="1"/>
  <c r="Y14" i="10"/>
  <c r="Z11" s="1"/>
  <c r="R40" i="11" l="1"/>
  <c r="AJ40" s="1"/>
  <c r="AL40" s="1"/>
  <c r="AC41" s="1"/>
  <c r="F41"/>
  <c r="G41" s="1"/>
  <c r="AG41" l="1"/>
  <c r="AI41" s="1"/>
  <c r="AH41" l="1"/>
  <c r="J41"/>
  <c r="AD42"/>
  <c r="AT41" l="1"/>
  <c r="AK41"/>
  <c r="K41"/>
  <c r="N41" s="1"/>
  <c r="Z42" l="1"/>
  <c r="P41"/>
  <c r="AU41"/>
  <c r="AW41"/>
  <c r="AB42" l="1"/>
  <c r="W43" s="1"/>
  <c r="AA42"/>
  <c r="Z4" i="10"/>
  <c r="Z9" s="1"/>
  <c r="Z12" l="1"/>
  <c r="Z13"/>
  <c r="Z16" s="1"/>
  <c r="Z17" s="1"/>
  <c r="Z14" l="1"/>
  <c r="AA11" s="1"/>
  <c r="Q41" i="11"/>
  <c r="R41" s="1"/>
  <c r="AJ41" s="1"/>
  <c r="AL41" s="1"/>
  <c r="U41" l="1"/>
  <c r="AC42"/>
  <c r="F42" l="1"/>
  <c r="G42" s="1"/>
  <c r="L43"/>
  <c r="AG42"/>
  <c r="AI42" s="1"/>
  <c r="AS42" s="1"/>
  <c r="AH42" l="1"/>
  <c r="J42"/>
  <c r="AD43"/>
  <c r="AT42" l="1"/>
  <c r="AK42"/>
  <c r="K42"/>
  <c r="N42" s="1"/>
  <c r="P42" l="1"/>
  <c r="Z43"/>
  <c r="AU42"/>
  <c r="AW42"/>
  <c r="G17" i="12" l="1"/>
  <c r="AB43" i="11"/>
  <c r="AS43" s="1"/>
  <c r="AA43"/>
  <c r="AA4" i="10"/>
  <c r="AA9" s="1"/>
  <c r="W44" i="11" l="1"/>
  <c r="AA12" i="10"/>
  <c r="AA13"/>
  <c r="AA16" s="1"/>
  <c r="AA17" s="1"/>
  <c r="AA14" l="1"/>
  <c r="AB11" s="1"/>
  <c r="Q42" i="11"/>
  <c r="R42" s="1"/>
  <c r="AJ42" s="1"/>
  <c r="AL42" s="1"/>
  <c r="U42" l="1"/>
  <c r="AC43"/>
  <c r="F43" l="1"/>
  <c r="G43" s="1"/>
  <c r="L44"/>
  <c r="AG43"/>
  <c r="AI43" s="1"/>
  <c r="AD44" l="1"/>
  <c r="AT43"/>
  <c r="AH43"/>
  <c r="J43"/>
  <c r="Z44" l="1"/>
  <c r="AK43"/>
  <c r="K43"/>
  <c r="N43" s="1"/>
  <c r="AU43"/>
  <c r="AW43"/>
  <c r="AB44" l="1"/>
  <c r="AS44" s="1"/>
  <c r="AA44"/>
  <c r="P43"/>
  <c r="W45" l="1"/>
  <c r="AB4" i="10"/>
  <c r="AB9" s="1"/>
  <c r="AB13" l="1"/>
  <c r="AB16" s="1"/>
  <c r="AB17" s="1"/>
  <c r="AB12"/>
  <c r="Q43" i="11" l="1"/>
  <c r="U43" s="1"/>
  <c r="L45" s="1"/>
  <c r="AB14" i="10"/>
  <c r="AC11" s="1"/>
  <c r="R43" i="11" l="1"/>
  <c r="AJ43" s="1"/>
  <c r="AL43" s="1"/>
  <c r="AC44" s="1"/>
  <c r="F44"/>
  <c r="G44" s="1"/>
  <c r="AG44" l="1"/>
  <c r="AI44" s="1"/>
  <c r="AH44" l="1"/>
  <c r="J44"/>
  <c r="AD45"/>
  <c r="AT44" l="1"/>
  <c r="K44"/>
  <c r="N44" s="1"/>
  <c r="AK44"/>
  <c r="P44" l="1"/>
  <c r="AW44"/>
  <c r="AU44"/>
  <c r="Z45"/>
  <c r="AB45" l="1"/>
  <c r="AS45" s="1"/>
  <c r="AA45"/>
  <c r="AC4" i="10"/>
  <c r="AC9" s="1"/>
  <c r="W46" i="11" l="1"/>
  <c r="AC13" i="10"/>
  <c r="AC16" s="1"/>
  <c r="AC17" s="1"/>
  <c r="AC12"/>
  <c r="Q44" i="11" l="1"/>
  <c r="R44" s="1"/>
  <c r="AJ44" s="1"/>
  <c r="AL44" s="1"/>
  <c r="AC14" i="10"/>
  <c r="AD11" s="1"/>
  <c r="U44" i="11" l="1"/>
  <c r="AC45"/>
  <c r="F45" l="1"/>
  <c r="G45" s="1"/>
  <c r="L46"/>
  <c r="AG45"/>
  <c r="AI45" s="1"/>
  <c r="AH45" l="1"/>
  <c r="J45"/>
  <c r="AD46"/>
  <c r="AT45" l="1"/>
  <c r="AK45"/>
  <c r="K45"/>
  <c r="N45" s="1"/>
  <c r="P45" l="1"/>
  <c r="Z46"/>
  <c r="AU45"/>
  <c r="AW45"/>
  <c r="AB46" l="1"/>
  <c r="AS46" s="1"/>
  <c r="AD4" i="10"/>
  <c r="AD9" s="1"/>
  <c r="AA46" i="11"/>
  <c r="W47" l="1"/>
  <c r="AD13" i="10"/>
  <c r="AD16" s="1"/>
  <c r="AD17" s="1"/>
  <c r="AD12"/>
  <c r="Q45" i="11" l="1"/>
  <c r="R45" s="1"/>
  <c r="AJ45" s="1"/>
  <c r="AL45" s="1"/>
  <c r="AD14" i="10"/>
  <c r="AE11" s="1"/>
  <c r="U45" i="11" l="1"/>
  <c r="AC46"/>
  <c r="F46" l="1"/>
  <c r="G46" s="1"/>
  <c r="L47"/>
  <c r="AG46"/>
  <c r="AI46" s="1"/>
  <c r="AH46" l="1"/>
  <c r="J46"/>
  <c r="AD47"/>
  <c r="AT46" l="1"/>
  <c r="AK46"/>
  <c r="K46"/>
  <c r="N46" s="1"/>
  <c r="P46" l="1"/>
  <c r="AU46"/>
  <c r="AW46"/>
  <c r="Z47"/>
  <c r="AB47" l="1"/>
  <c r="AS47" s="1"/>
  <c r="AA47"/>
  <c r="AE4" i="10"/>
  <c r="AE9" s="1"/>
  <c r="W48" i="11" l="1"/>
  <c r="AE12" i="10"/>
  <c r="AE13"/>
  <c r="AE16" s="1"/>
  <c r="AE17" s="1"/>
  <c r="AE14" l="1"/>
  <c r="AF11" s="1"/>
  <c r="Q47" i="11"/>
  <c r="Q46"/>
  <c r="U46" l="1"/>
  <c r="L48" s="1"/>
  <c r="R46"/>
  <c r="AJ46" s="1"/>
  <c r="AL46" s="1"/>
  <c r="F47" l="1"/>
  <c r="G47" s="1"/>
  <c r="AC47"/>
  <c r="AG47" l="1"/>
  <c r="AI47" s="1"/>
  <c r="AH47" l="1"/>
  <c r="J47"/>
  <c r="AD48"/>
  <c r="AT47" l="1"/>
  <c r="AK47"/>
  <c r="K47"/>
  <c r="N47" s="1"/>
  <c r="U47" l="1"/>
  <c r="L49" s="1"/>
  <c r="P47"/>
  <c r="AW47"/>
  <c r="AU47"/>
  <c r="Z48"/>
  <c r="AB48" l="1"/>
  <c r="AS48" s="1"/>
  <c r="F48"/>
  <c r="G48" s="1"/>
  <c r="AF4" i="10"/>
  <c r="AF9" s="1"/>
  <c r="R47" i="11"/>
  <c r="AJ47" s="1"/>
  <c r="AL47" s="1"/>
  <c r="AA48"/>
  <c r="W49" l="1"/>
  <c r="AF12" i="10"/>
  <c r="AF13"/>
  <c r="AF16" s="1"/>
  <c r="AF17" s="1"/>
  <c r="AC48" i="11"/>
  <c r="AG48" l="1"/>
  <c r="AH48" s="1"/>
  <c r="AF14" i="10"/>
  <c r="AG11" s="1"/>
  <c r="AI48" i="11" l="1"/>
  <c r="AD49" s="1"/>
  <c r="J48"/>
  <c r="Z49"/>
  <c r="AK48"/>
  <c r="K48"/>
  <c r="N48" l="1"/>
  <c r="P48" s="1"/>
  <c r="AT48"/>
  <c r="AU48" s="1"/>
  <c r="AB49"/>
  <c r="AS49" s="1"/>
  <c r="AA49"/>
  <c r="W50" l="1"/>
  <c r="AW48"/>
  <c r="AG4" i="10"/>
  <c r="AG9" s="1"/>
  <c r="AG12" l="1"/>
  <c r="AG13"/>
  <c r="AG16" s="1"/>
  <c r="AG17" s="1"/>
  <c r="AG14" l="1"/>
  <c r="AH11" s="1"/>
  <c r="Q48" i="11"/>
  <c r="R48" s="1"/>
  <c r="AJ48" s="1"/>
  <c r="AL48" s="1"/>
  <c r="U48" l="1"/>
  <c r="AC49"/>
  <c r="F49" l="1"/>
  <c r="G49" s="1"/>
  <c r="L50"/>
  <c r="AG49"/>
  <c r="AI49" s="1"/>
  <c r="AH49" l="1"/>
  <c r="J49"/>
  <c r="AD50"/>
  <c r="AT49" l="1"/>
  <c r="AK49"/>
  <c r="K49"/>
  <c r="N49" s="1"/>
  <c r="P49" l="1"/>
  <c r="AU49"/>
  <c r="AW49"/>
  <c r="Z50"/>
  <c r="AB50" l="1"/>
  <c r="AS50" s="1"/>
  <c r="AA50"/>
  <c r="AH4" i="10"/>
  <c r="AH9" s="1"/>
  <c r="W51" i="11" l="1"/>
  <c r="AH12" i="10"/>
  <c r="AH13"/>
  <c r="AH16" s="1"/>
  <c r="AH17" s="1"/>
  <c r="AH14" l="1"/>
  <c r="AI11" s="1"/>
  <c r="Q49" i="11"/>
  <c r="R49" s="1"/>
  <c r="AJ49" s="1"/>
  <c r="AL49" s="1"/>
  <c r="U49" l="1"/>
  <c r="AC50"/>
  <c r="F50" l="1"/>
  <c r="G50" s="1"/>
  <c r="L51"/>
  <c r="AG50"/>
  <c r="J50" s="1"/>
  <c r="AI50" l="1"/>
  <c r="AD51" s="1"/>
  <c r="AH50"/>
  <c r="K50" s="1"/>
  <c r="AT50" l="1"/>
  <c r="AK50"/>
  <c r="N50"/>
  <c r="P50" l="1"/>
  <c r="AW50"/>
  <c r="AU50"/>
  <c r="Z51"/>
  <c r="AB51" l="1"/>
  <c r="AS51" s="1"/>
  <c r="AI4" i="10"/>
  <c r="AI9" s="1"/>
  <c r="AA51" i="11"/>
  <c r="W52" l="1"/>
  <c r="AI12" i="10"/>
  <c r="AI13"/>
  <c r="AI16" s="1"/>
  <c r="AI17" s="1"/>
  <c r="AI14" l="1"/>
  <c r="AJ11" s="1"/>
  <c r="Q50" i="11"/>
  <c r="R50" s="1"/>
  <c r="AJ50" s="1"/>
  <c r="AL50" s="1"/>
  <c r="U50" l="1"/>
  <c r="AC51"/>
  <c r="F51" l="1"/>
  <c r="G51" s="1"/>
  <c r="L52"/>
  <c r="AG51"/>
  <c r="J51" s="1"/>
  <c r="AI51" l="1"/>
  <c r="AD52" s="1"/>
  <c r="AH51"/>
  <c r="K51" s="1"/>
  <c r="AK51" l="1"/>
  <c r="N51"/>
  <c r="P51" l="1"/>
  <c r="Z52"/>
  <c r="AT51"/>
  <c r="AB52" l="1"/>
  <c r="W53" s="1"/>
  <c r="AA52"/>
  <c r="AJ4" i="10"/>
  <c r="AJ9" s="1"/>
  <c r="AW51" i="11"/>
  <c r="AU51"/>
  <c r="AJ12" i="10" l="1"/>
  <c r="AJ13"/>
  <c r="AJ16" s="1"/>
  <c r="AJ17" s="1"/>
  <c r="AJ14" l="1"/>
  <c r="AK11" s="1"/>
  <c r="Q51" i="11"/>
  <c r="R51" s="1"/>
  <c r="AJ51" s="1"/>
  <c r="AL51" s="1"/>
  <c r="U51" l="1"/>
  <c r="AC52"/>
  <c r="F52" l="1"/>
  <c r="G52" s="1"/>
  <c r="L53"/>
  <c r="AG52"/>
  <c r="AI52" s="1"/>
  <c r="AS52" s="1"/>
  <c r="AH52" l="1"/>
  <c r="J52"/>
  <c r="AD53"/>
  <c r="AT52" l="1"/>
  <c r="AK52"/>
  <c r="K52"/>
  <c r="N52" s="1"/>
  <c r="P52" l="1"/>
  <c r="AU52"/>
  <c r="AW52"/>
  <c r="Z53"/>
  <c r="H17" i="12" l="1"/>
  <c r="AB53" i="11"/>
  <c r="AS53" s="1"/>
  <c r="AK4" i="10"/>
  <c r="AK9" s="1"/>
  <c r="AL4"/>
  <c r="AL9" s="1"/>
  <c r="AA53" i="11"/>
  <c r="W54" l="1"/>
  <c r="AL12" i="10"/>
  <c r="AK13"/>
  <c r="AK16" s="1"/>
  <c r="AK17" s="1"/>
  <c r="AK12"/>
  <c r="Q52" i="11" l="1"/>
  <c r="R52" s="1"/>
  <c r="AJ52" s="1"/>
  <c r="AL52" s="1"/>
  <c r="AK14" i="10"/>
  <c r="AL11" s="1"/>
  <c r="AL13" l="1"/>
  <c r="AL16" s="1"/>
  <c r="AL17" s="1"/>
  <c r="Q53" i="11" s="1"/>
  <c r="U52"/>
  <c r="AC53"/>
  <c r="AL14" i="10" l="1"/>
  <c r="AM11" s="1"/>
  <c r="F53" i="11"/>
  <c r="G53" s="1"/>
  <c r="L54"/>
  <c r="AG53"/>
  <c r="AI53" s="1"/>
  <c r="AH53" l="1"/>
  <c r="J53"/>
  <c r="AD54"/>
  <c r="AT53" l="1"/>
  <c r="AK53"/>
  <c r="K53"/>
  <c r="N53" s="1"/>
  <c r="Z54" l="1"/>
  <c r="U53"/>
  <c r="L55" s="1"/>
  <c r="P53"/>
  <c r="R53" s="1"/>
  <c r="AJ53" s="1"/>
  <c r="AL53" s="1"/>
  <c r="AU53"/>
  <c r="AW53"/>
  <c r="AB54" l="1"/>
  <c r="AS54" s="1"/>
  <c r="AA54"/>
  <c r="F54"/>
  <c r="G54" s="1"/>
  <c r="AC54"/>
  <c r="W55" l="1"/>
  <c r="AG54"/>
  <c r="AH54" s="1"/>
  <c r="K54" s="1"/>
  <c r="AK54" l="1"/>
  <c r="AI54"/>
  <c r="AD55" s="1"/>
  <c r="J54"/>
  <c r="N54" s="1"/>
  <c r="P54" s="1"/>
  <c r="AM4" i="10" s="1"/>
  <c r="AM9" s="1"/>
  <c r="AT54" i="11" l="1"/>
  <c r="AW54" s="1"/>
  <c r="AM12" i="10"/>
  <c r="AM13"/>
  <c r="AM16" s="1"/>
  <c r="AM17" s="1"/>
  <c r="Z55" i="11"/>
  <c r="AU54" l="1"/>
  <c r="AB55"/>
  <c r="AS55" s="1"/>
  <c r="AM14" i="10"/>
  <c r="AN11" s="1"/>
  <c r="Q54" i="11"/>
  <c r="U54" s="1"/>
  <c r="L56" s="1"/>
  <c r="AA55"/>
  <c r="W56" l="1"/>
  <c r="R54"/>
  <c r="AJ54" s="1"/>
  <c r="AL54" s="1"/>
  <c r="AC55" s="1"/>
  <c r="F55"/>
  <c r="G55" s="1"/>
  <c r="AG55" l="1"/>
  <c r="AH55" s="1"/>
  <c r="J55" l="1"/>
  <c r="AI55"/>
  <c r="Z56"/>
  <c r="AK55"/>
  <c r="K55"/>
  <c r="N55" s="1"/>
  <c r="AD56" l="1"/>
  <c r="AT55"/>
  <c r="AU55" s="1"/>
  <c r="AB56"/>
  <c r="AS56" s="1"/>
  <c r="P55"/>
  <c r="AA56"/>
  <c r="W57" l="1"/>
  <c r="AW55"/>
  <c r="AN4" i="10"/>
  <c r="AN9" s="1"/>
  <c r="AN13" l="1"/>
  <c r="AN16" s="1"/>
  <c r="AN17" s="1"/>
  <c r="AN12"/>
  <c r="Q55" i="11" l="1"/>
  <c r="R55" s="1"/>
  <c r="AJ55" s="1"/>
  <c r="AL55" s="1"/>
  <c r="AN14" i="10"/>
  <c r="AO11" s="1"/>
  <c r="U55" i="11" l="1"/>
  <c r="AC56"/>
  <c r="F56" l="1"/>
  <c r="G56" s="1"/>
  <c r="L57"/>
  <c r="AG56"/>
  <c r="AI56" s="1"/>
  <c r="AH56" l="1"/>
  <c r="J56"/>
  <c r="AD57"/>
  <c r="AT56" l="1"/>
  <c r="AK56"/>
  <c r="K56"/>
  <c r="N56" s="1"/>
  <c r="Z57" l="1"/>
  <c r="P56"/>
  <c r="AW56"/>
  <c r="AU56"/>
  <c r="AB57" l="1"/>
  <c r="AS57" s="1"/>
  <c r="AA57"/>
  <c r="AO4" i="10"/>
  <c r="AO9" s="1"/>
  <c r="W58" i="11" l="1"/>
  <c r="AO13" i="10"/>
  <c r="AO16" s="1"/>
  <c r="AO17" s="1"/>
  <c r="AO12"/>
  <c r="Q56" i="11" l="1"/>
  <c r="R56" s="1"/>
  <c r="AJ56" s="1"/>
  <c r="AL56" s="1"/>
  <c r="AO14" i="10"/>
  <c r="AP11" s="1"/>
  <c r="U56" i="11" l="1"/>
  <c r="AC57"/>
  <c r="F57" l="1"/>
  <c r="G57" s="1"/>
  <c r="L58"/>
  <c r="AG57"/>
  <c r="AI57" s="1"/>
  <c r="AD58" l="1"/>
  <c r="AH57"/>
  <c r="J57"/>
  <c r="AT57" l="1"/>
  <c r="AK57"/>
  <c r="K57"/>
  <c r="N57" s="1"/>
  <c r="Z58" l="1"/>
  <c r="P57"/>
  <c r="AW57"/>
  <c r="AU57"/>
  <c r="AB58" l="1"/>
  <c r="AA58"/>
  <c r="AP4" i="10"/>
  <c r="AP9" s="1"/>
  <c r="W59" i="11" l="1"/>
  <c r="AS58"/>
  <c r="AP13" i="10"/>
  <c r="AP16" s="1"/>
  <c r="AP17" s="1"/>
  <c r="AP12"/>
  <c r="Q57" i="11" l="1"/>
  <c r="R57" s="1"/>
  <c r="AJ57" s="1"/>
  <c r="AL57" s="1"/>
  <c r="AP14" i="10"/>
  <c r="AQ11" s="1"/>
  <c r="U57" i="11" l="1"/>
  <c r="AC58"/>
  <c r="F58" l="1"/>
  <c r="G58" s="1"/>
  <c r="L59"/>
  <c r="AG58"/>
  <c r="AI58" s="1"/>
  <c r="AH58" l="1"/>
  <c r="J58"/>
  <c r="AD59"/>
  <c r="AT58" l="1"/>
  <c r="AK58"/>
  <c r="K58"/>
  <c r="N58" s="1"/>
  <c r="P58" l="1"/>
  <c r="Z59"/>
  <c r="AU58"/>
  <c r="AW58"/>
  <c r="AB59" l="1"/>
  <c r="AQ4" i="10"/>
  <c r="AQ9" s="1"/>
  <c r="AA59" i="11"/>
  <c r="W60" l="1"/>
  <c r="AS59"/>
  <c r="AQ13" i="10"/>
  <c r="AQ16" s="1"/>
  <c r="AQ17" s="1"/>
  <c r="AQ12"/>
  <c r="Q58" i="11" l="1"/>
  <c r="R58" s="1"/>
  <c r="AJ58" s="1"/>
  <c r="AL58" s="1"/>
  <c r="AQ14" i="10"/>
  <c r="AR11" s="1"/>
  <c r="U58" i="11" l="1"/>
  <c r="AC59"/>
  <c r="F59" l="1"/>
  <c r="G59" s="1"/>
  <c r="L60"/>
  <c r="AG59"/>
  <c r="AI59" s="1"/>
  <c r="AH59" l="1"/>
  <c r="J59"/>
  <c r="AD60"/>
  <c r="AT59" l="1"/>
  <c r="AK59"/>
  <c r="K59"/>
  <c r="N59" s="1"/>
  <c r="P59" l="1"/>
  <c r="AW59"/>
  <c r="AU59"/>
  <c r="Z60"/>
  <c r="AB60" l="1"/>
  <c r="AS60" s="1"/>
  <c r="AA60"/>
  <c r="AR4" i="10"/>
  <c r="AR9" s="1"/>
  <c r="W61" i="11" l="1"/>
  <c r="AR12" i="10"/>
  <c r="AR13"/>
  <c r="AR16" s="1"/>
  <c r="AR17" s="1"/>
  <c r="AR14" l="1"/>
  <c r="AS11" s="1"/>
  <c r="Q59" i="11"/>
  <c r="R59" s="1"/>
  <c r="AJ59" s="1"/>
  <c r="AL59" s="1"/>
  <c r="U59" l="1"/>
  <c r="AC60"/>
  <c r="F60" l="1"/>
  <c r="G60" s="1"/>
  <c r="L61"/>
  <c r="AG60"/>
  <c r="AI60" s="1"/>
  <c r="AH60" l="1"/>
  <c r="J60"/>
  <c r="AD61"/>
  <c r="AT60" l="1"/>
  <c r="AK60"/>
  <c r="K60"/>
  <c r="N60" s="1"/>
  <c r="P60" l="1"/>
  <c r="Z61"/>
  <c r="AW60"/>
  <c r="AU60"/>
  <c r="AB61" l="1"/>
  <c r="AS61" s="1"/>
  <c r="AS4" i="10"/>
  <c r="AS9" s="1"/>
  <c r="AA61" i="11"/>
  <c r="W62" l="1"/>
  <c r="AS12" i="10"/>
  <c r="AS13"/>
  <c r="AS16" s="1"/>
  <c r="AS17" s="1"/>
  <c r="Q60" i="11" l="1"/>
  <c r="R60" s="1"/>
  <c r="AJ60" s="1"/>
  <c r="AL60" s="1"/>
  <c r="AS14" i="10"/>
  <c r="AT11" s="1"/>
  <c r="U60" i="11" l="1"/>
  <c r="AC61"/>
  <c r="F61" l="1"/>
  <c r="G61" s="1"/>
  <c r="L62"/>
  <c r="AG61"/>
  <c r="AI61" s="1"/>
  <c r="AH61" l="1"/>
  <c r="J61"/>
  <c r="AT61" l="1"/>
  <c r="AD62"/>
  <c r="AK61"/>
  <c r="K61"/>
  <c r="N61" s="1"/>
  <c r="Z62" l="1"/>
  <c r="AB62" s="1"/>
  <c r="P61"/>
  <c r="AU61"/>
  <c r="AW61"/>
  <c r="AA62" l="1"/>
  <c r="AT4" i="10"/>
  <c r="AT9" s="1"/>
  <c r="AT13" l="1"/>
  <c r="AT16" s="1"/>
  <c r="AT17" s="1"/>
  <c r="AT12"/>
  <c r="Q61" i="11" l="1"/>
  <c r="R61" s="1"/>
  <c r="AJ61" s="1"/>
  <c r="AL61" s="1"/>
  <c r="AT14" i="10"/>
  <c r="AU11" s="1"/>
  <c r="U61" i="11" l="1"/>
  <c r="F62" s="1"/>
  <c r="G62" s="1"/>
  <c r="AC62"/>
  <c r="AG62" l="1"/>
  <c r="AI62" s="1"/>
  <c r="AS62" s="1"/>
  <c r="AT62" l="1"/>
  <c r="AW62" s="1"/>
  <c r="AH62"/>
  <c r="J62"/>
  <c r="AU62" l="1"/>
  <c r="AK62"/>
  <c r="K62"/>
  <c r="N62" s="1"/>
  <c r="I17" i="12" l="1"/>
  <c r="P62" i="11"/>
  <c r="AU4" i="10" l="1"/>
  <c r="AU9" s="1"/>
  <c r="AU13" l="1"/>
  <c r="AU16" s="1"/>
  <c r="AU17" s="1"/>
  <c r="AU12"/>
  <c r="Q62" i="11" l="1"/>
  <c r="R62" s="1"/>
  <c r="AJ62" s="1"/>
  <c r="AL62" s="1"/>
  <c r="AU14" i="10"/>
  <c r="U62" i="11" l="1"/>
</calcChain>
</file>

<file path=xl/sharedStrings.xml><?xml version="1.0" encoding="utf-8"?>
<sst xmlns="http://schemas.openxmlformats.org/spreadsheetml/2006/main" count="663" uniqueCount="397">
  <si>
    <t>General Assumptions</t>
  </si>
  <si>
    <t>Vat Registered</t>
  </si>
  <si>
    <t>Inflation</t>
  </si>
  <si>
    <t>Fixed Asset Depreciation Rates</t>
  </si>
  <si>
    <t>Cash Flow Assumptions</t>
  </si>
  <si>
    <t>Fixed Asset Type</t>
  </si>
  <si>
    <t>Useful Economic Life (Years)</t>
  </si>
  <si>
    <t>Credit Days Sales</t>
  </si>
  <si>
    <t>Land &amp; Buildings</t>
  </si>
  <si>
    <t>Credit Days Purchases</t>
  </si>
  <si>
    <t>Fixtures and Fittings</t>
  </si>
  <si>
    <t>Stock as a % of Monthly Cos</t>
  </si>
  <si>
    <t>Vehicles</t>
  </si>
  <si>
    <t>Machinery</t>
  </si>
  <si>
    <t>Equipment</t>
  </si>
  <si>
    <t>IT</t>
  </si>
  <si>
    <t>Q1</t>
  </si>
  <si>
    <t>Q2</t>
  </si>
  <si>
    <t>Q3</t>
  </si>
  <si>
    <t>Q4</t>
  </si>
  <si>
    <t>Year 1</t>
  </si>
  <si>
    <t>Year 2</t>
  </si>
  <si>
    <t>Year 3</t>
  </si>
  <si>
    <t>Year 4</t>
  </si>
  <si>
    <t>Year 5</t>
  </si>
  <si>
    <t>(£)</t>
  </si>
  <si>
    <t>Turnover</t>
  </si>
  <si>
    <t>Gross Profit</t>
  </si>
  <si>
    <t>(Less Overheads)</t>
  </si>
  <si>
    <t>(Total Overheads)</t>
  </si>
  <si>
    <t>EBITDA</t>
  </si>
  <si>
    <t>(Less Interest)</t>
  </si>
  <si>
    <t>Community Shares</t>
  </si>
  <si>
    <t>Mortgage</t>
  </si>
  <si>
    <t>(Total Interest)</t>
  </si>
  <si>
    <t>(Extra-Ordinary Day 1 Costs)</t>
  </si>
  <si>
    <t>Business Development</t>
  </si>
  <si>
    <t>(Total Extra-Ordinary Day 1 Costs)</t>
  </si>
  <si>
    <t>Net Profit</t>
  </si>
  <si>
    <t>(less Tax)</t>
  </si>
  <si>
    <t>Operating Cash Flows</t>
  </si>
  <si>
    <t>Plus non cash expenses</t>
  </si>
  <si>
    <t>Depreciation</t>
  </si>
  <si>
    <t>Tax Owing</t>
  </si>
  <si>
    <t>Comm Shares Interest</t>
  </si>
  <si>
    <t>Bonds or Loan Stock Interest</t>
  </si>
  <si>
    <t>Mortgage Loan Arrangement Fee</t>
  </si>
  <si>
    <t>VAT Received</t>
  </si>
  <si>
    <t>(Less non expense cash out)</t>
  </si>
  <si>
    <t>Last Years CT</t>
  </si>
  <si>
    <t>Last Years Comm Share Interest</t>
  </si>
  <si>
    <t>VAT Paid</t>
  </si>
  <si>
    <t>Changes in Current Assets</t>
  </si>
  <si>
    <t>(Increase)/Decrease in Stock</t>
  </si>
  <si>
    <t>(Increase)/Decrease in A/R</t>
  </si>
  <si>
    <t>(Increase)/Decrease in Accrued Income</t>
  </si>
  <si>
    <t>(Increase)/Decrease in Prepaid Expenses</t>
  </si>
  <si>
    <t>Changes in Current Liabilities</t>
  </si>
  <si>
    <t>Increase/(Decrease) in A/P</t>
  </si>
  <si>
    <t>Increase/(Decrease) in Unused Grants</t>
  </si>
  <si>
    <t>Increase/(Decrease) in Accrued Expenses</t>
  </si>
  <si>
    <t>Increase/(Decrease) in Unearned Income</t>
  </si>
  <si>
    <t>Net Operating Cash Flows</t>
  </si>
  <si>
    <t>Investing Cash Flows</t>
  </si>
  <si>
    <t>(Purchase of Property Plant and Equipment)</t>
  </si>
  <si>
    <t>Sale of Property Plant and Equipment</t>
  </si>
  <si>
    <t>Net Investing Cash Flows</t>
  </si>
  <si>
    <t>Financing Cash Flows</t>
  </si>
  <si>
    <t>Receiving Loan Stock/ Bonds</t>
  </si>
  <si>
    <t>(Repaying Loan Stock/ Bonds)</t>
  </si>
  <si>
    <t>Raising Share Capital</t>
  </si>
  <si>
    <t>(Share Withdrawal)</t>
  </si>
  <si>
    <t>Receiving Grants</t>
  </si>
  <si>
    <t>Net Financing Cash Flows</t>
  </si>
  <si>
    <t>Net Cash Flows</t>
  </si>
  <si>
    <t>Opening Balance</t>
  </si>
  <si>
    <t>Closing Cash Balance</t>
  </si>
  <si>
    <t>Fixed Assets</t>
  </si>
  <si>
    <t>Current Assets</t>
  </si>
  <si>
    <t>Cash at Bank</t>
  </si>
  <si>
    <t>Accounts Receivable</t>
  </si>
  <si>
    <t>Stock</t>
  </si>
  <si>
    <t>Accrued Income</t>
  </si>
  <si>
    <t>Prepaid Expenses</t>
  </si>
  <si>
    <t>Total Current Assets</t>
  </si>
  <si>
    <t>(Less Current Liaibilites)</t>
  </si>
  <si>
    <t>Accounts Payable</t>
  </si>
  <si>
    <t>VAT Owed</t>
  </si>
  <si>
    <t>CT Owing</t>
  </si>
  <si>
    <t>Unpaid Share Interest</t>
  </si>
  <si>
    <t>Accrued Expenses</t>
  </si>
  <si>
    <t>Unearned Income</t>
  </si>
  <si>
    <t>Unused Grants</t>
  </si>
  <si>
    <t>Mortgages Due this Year</t>
  </si>
  <si>
    <t>Loans Due this Year</t>
  </si>
  <si>
    <t>(Total Current Liabilities)</t>
  </si>
  <si>
    <t>Net Current Assets</t>
  </si>
  <si>
    <t>(Less Long Term Liaibilities)</t>
  </si>
  <si>
    <t>Mortgages Owing</t>
  </si>
  <si>
    <t>Loanstock/ Bonds Owing</t>
  </si>
  <si>
    <t>(Total Long Term Liaibilities)</t>
  </si>
  <si>
    <t>Net Worth</t>
  </si>
  <si>
    <t>Made Up of</t>
  </si>
  <si>
    <t>Retained Earnings</t>
  </si>
  <si>
    <t>Actual Cost</t>
  </si>
  <si>
    <t>% of turnover</t>
  </si>
  <si>
    <t>Weekly Turnover</t>
  </si>
  <si>
    <t>Wages and Salaries</t>
  </si>
  <si>
    <t>Rates</t>
  </si>
  <si>
    <t>Utilities</t>
  </si>
  <si>
    <t>Repairs and Renewals</t>
  </si>
  <si>
    <t>Insurance</t>
  </si>
  <si>
    <t>Marketing</t>
  </si>
  <si>
    <t>Consumables</t>
  </si>
  <si>
    <t>Cleaning/ Waste</t>
  </si>
  <si>
    <t>Profesional Fees</t>
  </si>
  <si>
    <t>Bank Charges</t>
  </si>
  <si>
    <t>Equipment Hire</t>
  </si>
  <si>
    <t>Pay TV</t>
  </si>
  <si>
    <t>Other Costs</t>
  </si>
  <si>
    <t>Overheads excluding Salaries</t>
  </si>
  <si>
    <t>Overheads inc salaries</t>
  </si>
  <si>
    <t>Dashboard</t>
  </si>
  <si>
    <t>VAT Registered</t>
  </si>
  <si>
    <t>Asset Type</t>
  </si>
  <si>
    <t>Length of Useful Life (Years)</t>
  </si>
  <si>
    <t>Total Cost</t>
  </si>
  <si>
    <t>Start Up Cost</t>
  </si>
  <si>
    <t>Country</t>
  </si>
  <si>
    <t>Cash Needed</t>
  </si>
  <si>
    <t>Plus VAT</t>
  </si>
  <si>
    <t>Total Cash Needed</t>
  </si>
  <si>
    <t>Fees And Taxes</t>
  </si>
  <si>
    <t>Type of Purchase</t>
  </si>
  <si>
    <t>Description</t>
  </si>
  <si>
    <t>Cost</t>
  </si>
  <si>
    <t>Number</t>
  </si>
  <si>
    <t>Land Transaction Taxes</t>
  </si>
  <si>
    <t>Commercial</t>
  </si>
  <si>
    <t>VAT</t>
  </si>
  <si>
    <t>Notes</t>
  </si>
  <si>
    <t>Working Capital</t>
  </si>
  <si>
    <t>Type of Cost</t>
  </si>
  <si>
    <t>Staff Time</t>
  </si>
  <si>
    <t>Staff Training</t>
  </si>
  <si>
    <t>(How much stock will you need to carry?)</t>
  </si>
  <si>
    <t>Unpaid invoices to Customers</t>
  </si>
  <si>
    <t>Days of Credit</t>
  </si>
  <si>
    <t>Monthly Sales on Credit</t>
  </si>
  <si>
    <t>Unpaid bill from Suppliers</t>
  </si>
  <si>
    <t>Monthly Bills on Credit</t>
  </si>
  <si>
    <t>Total Needed</t>
  </si>
  <si>
    <t>Covering Initial Losses</t>
  </si>
  <si>
    <t>For now just estimate the amount and put it here</t>
  </si>
  <si>
    <t>We will populate this cell from your Cash Flow later</t>
  </si>
  <si>
    <t>Above</t>
  </si>
  <si>
    <t>Total:</t>
  </si>
  <si>
    <t>Check these bands and percentages are correct here
https://www.gov.uk/stamp-duty-land-tax/nonresidential-and-mixed-rates</t>
  </si>
  <si>
    <t>Check these bands and percentages are correct here
https://www.gov.scot/policies/taxes/land-and-buildings-transaction-tax/</t>
  </si>
  <si>
    <t>Check these bands and percentages are correct here
https://gov.wales/land-transaction-tax-rates-and-bands#section-8959</t>
  </si>
  <si>
    <t>Residential</t>
  </si>
  <si>
    <t>SDLT – England / NI</t>
  </si>
  <si>
    <t>LBTT – Scotland</t>
  </si>
  <si>
    <t>LTT – Wales</t>
  </si>
  <si>
    <t>Band</t>
  </si>
  <si>
    <t>Rate</t>
  </si>
  <si>
    <t>Full cost of band</t>
  </si>
  <si>
    <t>Check these bands and percentages are correct here
https://www.gov.uk/stamp-duty-land-tax/residential-property-rates</t>
  </si>
  <si>
    <t>Check these bands and percentages are correct here:
https://www.gov.scot/policies/taxes/land-and-buildings-transaction-tax/</t>
  </si>
  <si>
    <t>There is an additional 4% surcharge on all bands for corporate bodies buying residential property</t>
  </si>
  <si>
    <t>Check these bands and percentages are correct here:
https://gov.wales/land-transaction-tax-rates-and-bands</t>
  </si>
  <si>
    <t>Amount Raised</t>
  </si>
  <si>
    <t>Proposed Withdrawal Rate</t>
  </si>
  <si>
    <t>Proposed Interest Rate</t>
  </si>
  <si>
    <t>Initial Interest Holiday (Years)</t>
  </si>
  <si>
    <t>Interest Accrued to Share Account</t>
  </si>
  <si>
    <t>Initial Withdrawal Suspension (Years)</t>
  </si>
  <si>
    <t>Year</t>
  </si>
  <si>
    <t>Interest Accrued in Year</t>
  </si>
  <si>
    <t>Interest Paid out in year</t>
  </si>
  <si>
    <t>Loan Amount</t>
  </si>
  <si>
    <t>Loan Arrangement Fee</t>
  </si>
  <si>
    <t>Interest Rate</t>
  </si>
  <si>
    <t>Total Cash Received</t>
  </si>
  <si>
    <t>Length</t>
  </si>
  <si>
    <t>Interest Only</t>
  </si>
  <si>
    <t>No</t>
  </si>
  <si>
    <t>Interest Rate Rises</t>
  </si>
  <si>
    <t>Over</t>
  </si>
  <si>
    <t>Years</t>
  </si>
  <si>
    <t>Monthly Payment</t>
  </si>
  <si>
    <t>Ending Balance</t>
  </si>
  <si>
    <t>Total Payments</t>
  </si>
  <si>
    <t>Total Interest</t>
  </si>
  <si>
    <t>Month 1</t>
  </si>
  <si>
    <t>Payment</t>
  </si>
  <si>
    <t>Interest</t>
  </si>
  <si>
    <t>Balance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</si>
  <si>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</si>
  <si>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</si>
  <si>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</si>
  <si>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</si>
  <si>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</si>
  <si>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</si>
  <si>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</si>
  <si>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</si>
  <si>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</si>
  <si>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</si>
  <si>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</si>
  <si>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Corporation Tax Due</t>
  </si>
  <si>
    <t>Add in Disallowed Expenses</t>
  </si>
  <si>
    <t>Less  untaxed income</t>
  </si>
  <si>
    <t>Less Capital allowances</t>
  </si>
  <si>
    <t>Taxable Profit</t>
  </si>
  <si>
    <t>Losses bought forward</t>
  </si>
  <si>
    <t>Losses Added</t>
  </si>
  <si>
    <t>Losses Used</t>
  </si>
  <si>
    <t>Losses Carried Forrward</t>
  </si>
  <si>
    <t>Furnishing</t>
  </si>
  <si>
    <t>Solicitor</t>
  </si>
  <si>
    <t>Conveyancing</t>
  </si>
  <si>
    <t>Not registered</t>
  </si>
  <si>
    <t>ADS – Scotland</t>
  </si>
  <si>
    <t>Finance Marketing</t>
  </si>
  <si>
    <t>Fundraising Fees</t>
  </si>
  <si>
    <t>Mortgage Loan Ratio</t>
  </si>
  <si>
    <t>Rent Received</t>
  </si>
  <si>
    <t>Bank Interests</t>
  </si>
  <si>
    <t>Cost of Sale Ratio</t>
  </si>
  <si>
    <t>Property Mgmt Costs</t>
  </si>
  <si>
    <t>City</t>
  </si>
  <si>
    <t>There is an additional 5% surcharge on all bands for corporate bodies buying residential property</t>
  </si>
  <si>
    <t>SDLT Surcharge – England / NI</t>
  </si>
  <si>
    <t>There is an additional 8% ADS charge on all bands for corporate bodies buying residential property</t>
  </si>
  <si>
    <t>Micro Equity</t>
  </si>
  <si>
    <t>Investment Shares</t>
  </si>
  <si>
    <t>Universal Credit</t>
  </si>
  <si>
    <t>Property value</t>
  </si>
  <si>
    <t>Change numbers in yellow cells</t>
  </si>
  <si>
    <t>Share capital</t>
  </si>
  <si>
    <t>Lower limit</t>
  </si>
  <si>
    <t>rate</t>
  </si>
  <si>
    <t>Due</t>
  </si>
  <si>
    <t xml:space="preserve">Fundraiser </t>
  </si>
  <si>
    <t>Threshold</t>
  </si>
  <si>
    <t>Taxable</t>
  </si>
  <si>
    <t>LBTT ADS, Conveyancing</t>
  </si>
  <si>
    <t>to test model</t>
  </si>
  <si>
    <t>Annual return</t>
  </si>
  <si>
    <t>Deduction per month</t>
  </si>
  <si>
    <t>Project Manager</t>
  </si>
  <si>
    <t>For each</t>
  </si>
  <si>
    <t>Project Director</t>
  </si>
  <si>
    <t>Purchase cost</t>
  </si>
  <si>
    <t>Property Appreciation</t>
  </si>
  <si>
    <t>Upper Limit</t>
  </si>
  <si>
    <t>Affiliation Fees</t>
  </si>
  <si>
    <t>Bedrooms</t>
  </si>
  <si>
    <t>Corporation Tax</t>
  </si>
  <si>
    <t>Bank Saving Interest</t>
  </si>
  <si>
    <t>Card Fees</t>
  </si>
  <si>
    <t>Fund to raise</t>
  </si>
  <si>
    <t>Bank Loan Interest</t>
  </si>
  <si>
    <t>Rent receipt Fees</t>
  </si>
  <si>
    <t>Remainder</t>
  </si>
  <si>
    <t>Housing Benefit Rent</t>
  </si>
  <si>
    <t>of rent paid</t>
  </si>
  <si>
    <t>Local Housing Allowance Rates</t>
  </si>
  <si>
    <t>ADS Due</t>
  </si>
  <si>
    <t>Maintenance fund</t>
  </si>
  <si>
    <t>of rent</t>
  </si>
  <si>
    <t>(Housing Benefits)</t>
  </si>
  <si>
    <t>https://lha-direct.voa.gov.uk/</t>
  </si>
  <si>
    <t>Rent per week</t>
  </si>
  <si>
    <t xml:space="preserve"> </t>
  </si>
  <si>
    <t>Property mgmt + Proj Fees</t>
  </si>
  <si>
    <t>of prop. value</t>
  </si>
  <si>
    <t>Property maint.</t>
  </si>
  <si>
    <t>Property insurance</t>
  </si>
  <si>
    <t>Major Repairs</t>
  </si>
  <si>
    <t>https://www.stampdutycalculator.org.uk/stamp-duty-scotland.htm</t>
  </si>
  <si>
    <t>Maint. work done by tenant</t>
  </si>
  <si>
    <t>of property value per year retained in Maintenance Fund</t>
  </si>
  <si>
    <t>https://www.elpamsolicitors.co.uk/fees/property-estate-agency-conveyancing/buying-a-property-fees-calculator/</t>
  </si>
  <si>
    <t>Major Repair done by tenant</t>
  </si>
  <si>
    <t>Financial Model</t>
  </si>
  <si>
    <t>Anticipated income</t>
  </si>
  <si>
    <t>Income Actual received</t>
  </si>
  <si>
    <t>Maintenance Fund</t>
  </si>
  <si>
    <t>Major Repairs Fund</t>
  </si>
  <si>
    <t>Actual Paid from Current Account</t>
  </si>
  <si>
    <t>Annual Profit</t>
  </si>
  <si>
    <t>Tenant Shares Projection</t>
  </si>
  <si>
    <t>Property
Market
Value</t>
  </si>
  <si>
    <t>Rent
(Housing Benefit)
 per year</t>
  </si>
  <si>
    <t>Rent reduction</t>
  </si>
  <si>
    <t>Rent received</t>
  </si>
  <si>
    <t>Bank Interest</t>
  </si>
  <si>
    <t>Interest paid into Maint. Fund</t>
  </si>
  <si>
    <t>Budgeted Property
Maint.</t>
  </si>
  <si>
    <t>Maint. work to pay from maint. fund</t>
  </si>
  <si>
    <t>Maint. Work paid from current account</t>
  </si>
  <si>
    <t>Accum. Maint. Fund</t>
  </si>
  <si>
    <t>Trans. Fr. C.A. into Maint.Fund</t>
  </si>
  <si>
    <t>Budgeted Major Repairs</t>
  </si>
  <si>
    <t>Major Repairs done by tenant</t>
  </si>
  <si>
    <t>Repairs to pay from Maint. Fund</t>
  </si>
  <si>
    <t>Repairs paid from current account</t>
  </si>
  <si>
    <t>Property
Insurance</t>
  </si>
  <si>
    <t>Property
Mgmt</t>
  </si>
  <si>
    <t>Investors Share
return</t>
  </si>
  <si>
    <t>Corp.
Tax</t>
  </si>
  <si>
    <t>Nett Profit after tax</t>
  </si>
  <si>
    <t>Accum. Current Account</t>
  </si>
  <si>
    <t>Hone Share purchase
by tenant</t>
  </si>
  <si>
    <t>Home Share
Apprec.
per year</t>
  </si>
  <si>
    <t>Accum. Home Shares</t>
  </si>
  <si>
    <t>Original investor share holding</t>
  </si>
  <si>
    <t>Projected Tenant Shares</t>
  </si>
  <si>
    <t>Projected Tenant
share of property</t>
  </si>
  <si>
    <t>Projected investor share holding</t>
  </si>
  <si>
    <t>Universal Credit Deduction</t>
  </si>
  <si>
    <t>Conveyancing Calculator - Scotland</t>
  </si>
  <si>
    <t>Conveyancing Calculator - England/NI</t>
  </si>
  <si>
    <t>Conveyancing Calculator - Wales</t>
  </si>
  <si>
    <t>LTT Surcharge – Wales</t>
  </si>
  <si>
    <t>Launch</t>
  </si>
  <si>
    <t>Share offer costs</t>
  </si>
  <si>
    <t>Profit to be taxed @</t>
  </si>
  <si>
    <t>Corporation Tax Rate</t>
  </si>
  <si>
    <t xml:space="preserve"> Budgeted Major Repairs</t>
  </si>
  <si>
    <t>Fundraising Fees &amp; Costs</t>
  </si>
  <si>
    <t>Letting Agent</t>
  </si>
  <si>
    <t>Fixed Assets - Beginning of Year</t>
  </si>
  <si>
    <t>L&amp;B Depreciation</t>
  </si>
  <si>
    <t>L&amp;B at Year End</t>
  </si>
  <si>
    <t>F&amp;F Depreciation</t>
  </si>
  <si>
    <t>F&amp;F at Year End</t>
  </si>
  <si>
    <t>Total Appreciation</t>
  </si>
  <si>
    <t>Total Fixed Assets - year End</t>
  </si>
  <si>
    <t>Asset Appreciation</t>
  </si>
  <si>
    <t>Start up
costs</t>
  </si>
  <si>
    <t>Total income</t>
  </si>
  <si>
    <t>Total Income</t>
  </si>
  <si>
    <t>Gift points from friends</t>
  </si>
  <si>
    <t>Home Share Purchase</t>
  </si>
  <si>
    <t>Gift
points from
freinds</t>
  </si>
  <si>
    <t>Gift Points 
Apprec.
per year</t>
  </si>
  <si>
    <t xml:space="preserve">Accum. Gift Points </t>
  </si>
  <si>
    <t>Totla Expense</t>
  </si>
  <si>
    <t>Total Asset Depreciation</t>
  </si>
  <si>
    <t>Gift Points purchase by friends</t>
  </si>
  <si>
    <t>Current Account</t>
  </si>
  <si>
    <t>Paid Out Current Account</t>
  </si>
  <si>
    <t>Home Share purchase by tenant</t>
  </si>
  <si>
    <t>Transfer to Current Account</t>
  </si>
  <si>
    <t>Allocate into Maint. Fund</t>
  </si>
  <si>
    <t>Home Shares Acquired</t>
  </si>
  <si>
    <t>Gift Points Acquired</t>
  </si>
  <si>
    <t>Prop. Purch. fundraising &amp; launch fees</t>
  </si>
  <si>
    <t>Home Shares Sold in Year</t>
  </si>
  <si>
    <t>Invest. Shares Withdrawn in Year</t>
  </si>
  <si>
    <t>Investment Share Balance</t>
  </si>
  <si>
    <t>Home Shares Balance</t>
  </si>
  <si>
    <t>Home Shares Sold</t>
  </si>
  <si>
    <t>Gift Points Sold</t>
  </si>
  <si>
    <t>Share Offer Costs</t>
  </si>
  <si>
    <t>Fundrasing Fees</t>
  </si>
  <si>
    <t>Accum. Major Repair Fund</t>
  </si>
  <si>
    <t>Accum. Maint. + Major Rep Fund (after each 10 yr)</t>
  </si>
  <si>
    <t>Purchase Costs</t>
  </si>
  <si>
    <t>Amount</t>
  </si>
  <si>
    <t>Property Price</t>
  </si>
  <si>
    <t>Purchase Cost</t>
  </si>
  <si>
    <t>Fund to Raise</t>
  </si>
  <si>
    <t>Income:</t>
  </si>
  <si>
    <t xml:space="preserve">     Annual Rent</t>
  </si>
  <si>
    <t xml:space="preserve">     Bank Interests</t>
  </si>
  <si>
    <t>Expenses:</t>
  </si>
  <si>
    <t xml:space="preserve">     Property Maintenance </t>
  </si>
  <si>
    <t xml:space="preserve">     Property Insurance</t>
  </si>
  <si>
    <t xml:space="preserve">     Property Management</t>
  </si>
  <si>
    <t xml:space="preserve">     Investor Share Return</t>
  </si>
  <si>
    <t xml:space="preserve">     Fees &amp; Launch Costs</t>
  </si>
  <si>
    <t xml:space="preserve">     Corp. Tax</t>
  </si>
  <si>
    <t>Profit After Tax</t>
  </si>
  <si>
    <t>Gift Points Purchase</t>
  </si>
  <si>
    <t>5 Years</t>
  </si>
  <si>
    <t>10 Years</t>
  </si>
  <si>
    <t>20 Years</t>
  </si>
  <si>
    <t>Tenant Ownership after:</t>
  </si>
  <si>
    <t>30 Years</t>
  </si>
  <si>
    <t>40 Years</t>
  </si>
  <si>
    <t>Other costs</t>
  </si>
  <si>
    <t>Country:</t>
  </si>
  <si>
    <t>Cardiff</t>
  </si>
  <si>
    <t>Wales</t>
  </si>
</sst>
</file>

<file path=xl/styles.xml><?xml version="1.0" encoding="utf-8"?>
<styleSheet xmlns="http://schemas.openxmlformats.org/spreadsheetml/2006/main">
  <numFmts count="17">
    <numFmt numFmtId="6" formatCode="&quot;£&quot;#,##0;[Red]\-&quot;£&quot;#,##0"/>
    <numFmt numFmtId="44" formatCode="_-&quot;£&quot;* #,##0.00_-;\-&quot;£&quot;* #,##0.00_-;_-&quot;£&quot;* &quot;-&quot;??_-;_-@_-"/>
    <numFmt numFmtId="164" formatCode="#,##0_);\(#,##0\);\-"/>
    <numFmt numFmtId="165" formatCode="[$£-809]#,##0;\-[$£-809]#,##0"/>
    <numFmt numFmtId="166" formatCode="[$£-809]#,##0.00"/>
    <numFmt numFmtId="167" formatCode="[$£]#,##0.00"/>
    <numFmt numFmtId="168" formatCode="[$£-809]#,##0.00;[Red]\-[$£-809]#,##0.00"/>
    <numFmt numFmtId="169" formatCode="[$£-809]#,##0;[Red]\-[$£-809]#,##0"/>
    <numFmt numFmtId="170" formatCode="0.0%"/>
    <numFmt numFmtId="171" formatCode="#,##0\ ;\(#,##0\);\-"/>
    <numFmt numFmtId="172" formatCode="#,##0\ ;\(#,##0\)"/>
    <numFmt numFmtId="173" formatCode="&quot;£&quot;#,##0"/>
    <numFmt numFmtId="174" formatCode="&quot;£&quot;#,##0.00"/>
    <numFmt numFmtId="175" formatCode="#,##0_ ;[Red]\-#,##0\ "/>
    <numFmt numFmtId="176" formatCode="_-&quot;£&quot;* #,##0_-;\-&quot;£&quot;* #,##0_-;_-&quot;£&quot;* &quot;-&quot;??_-;_-@_-"/>
    <numFmt numFmtId="177" formatCode="#,##0.0"/>
    <numFmt numFmtId="178" formatCode="&quot;£&quot;#,##0.0"/>
  </numFmts>
  <fonts count="41">
    <font>
      <sz val="10"/>
      <color rgb="FF000000"/>
      <name val="Arial"/>
      <scheme val="minor"/>
    </font>
    <font>
      <b/>
      <sz val="18"/>
      <color theme="1"/>
      <name val="&quot;Liberation Sans&quot;"/>
    </font>
    <font>
      <sz val="8"/>
      <color theme="1"/>
      <name val="&quot;Liberation Sans&quot;"/>
    </font>
    <font>
      <b/>
      <sz val="8"/>
      <color theme="1"/>
      <name val="&quot;Liberation Sans&quot;"/>
    </font>
    <font>
      <sz val="8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theme="1"/>
      <name val="&quot;Arial&quot;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0070C0"/>
      <name val="Arial"/>
      <family val="2"/>
      <scheme val="minor"/>
    </font>
    <font>
      <b/>
      <sz val="10"/>
      <color rgb="FF262626"/>
      <name val="Arial"/>
      <family val="2"/>
      <scheme val="minor"/>
    </font>
    <font>
      <sz val="10"/>
      <color rgb="FF262626"/>
      <name val="Arial"/>
      <family val="2"/>
      <scheme val="minor"/>
    </font>
    <font>
      <sz val="10"/>
      <color rgb="FFFF0000"/>
      <name val="Arial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Arial"/>
      <family val="2"/>
      <scheme val="minor"/>
    </font>
    <font>
      <sz val="11"/>
      <name val="Arial"/>
      <family val="2"/>
      <scheme val="minor"/>
    </font>
    <font>
      <sz val="10"/>
      <color rgb="FF0070C0"/>
      <name val="Arial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rgb="FF0070C0"/>
      <name val="Calibri"/>
      <family val="2"/>
    </font>
    <font>
      <b/>
      <sz val="8"/>
      <color rgb="FF0070C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972F"/>
        <bgColor rgb="FFFF972F"/>
      </patternFill>
    </fill>
    <fill>
      <patternFill patternType="solid">
        <fgColor rgb="FFFFE994"/>
        <bgColor rgb="FFFFE994"/>
      </patternFill>
    </fill>
    <fill>
      <patternFill patternType="solid">
        <fgColor rgb="FFAECF00"/>
        <bgColor rgb="FFAECF00"/>
      </patternFill>
    </fill>
    <fill>
      <patternFill patternType="solid">
        <fgColor rgb="FFFF9900"/>
        <bgColor rgb="FFFF9900"/>
      </patternFill>
    </fill>
    <fill>
      <patternFill patternType="solid">
        <fgColor rgb="FFFFCC99"/>
        <bgColor rgb="FFFFCC99"/>
      </patternFill>
    </fill>
    <fill>
      <patternFill patternType="solid">
        <fgColor rgb="FF729FCF"/>
        <bgColor rgb="FF729FC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29FCF"/>
        <bgColor indexed="64"/>
      </patternFill>
    </fill>
    <fill>
      <patternFill patternType="solid">
        <fgColor rgb="FFFFCC99"/>
        <bgColor rgb="FFAEC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rgb="FFFF972F"/>
      </patternFill>
    </fill>
    <fill>
      <patternFill patternType="solid">
        <fgColor rgb="FFFFFF00"/>
        <bgColor rgb="FFAECF00"/>
      </patternFill>
    </fill>
  </fills>
  <borders count="1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 style="medium">
        <color rgb="FF4472C4"/>
      </left>
      <right/>
      <top/>
      <bottom style="thick">
        <color rgb="FF4472C4"/>
      </bottom>
      <diagonal/>
    </border>
    <border>
      <left/>
      <right style="medium">
        <color rgb="FF4472C4"/>
      </right>
      <top/>
      <bottom style="thick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/>
      <diagonal/>
    </border>
    <border>
      <left/>
      <right style="medium">
        <color rgb="FF4472C4"/>
      </right>
      <top/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/>
      <right/>
      <top style="medium">
        <color rgb="FF4472C4"/>
      </top>
      <bottom style="thick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 style="thick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/>
      <top style="thick">
        <color rgb="FF4472C4"/>
      </top>
      <bottom style="medium">
        <color rgb="FF4472C4"/>
      </bottom>
      <diagonal/>
    </border>
    <border>
      <left/>
      <right/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4" fontId="15" fillId="0" borderId="0" applyFont="0" applyFill="0" applyBorder="0" applyAlignment="0" applyProtection="0"/>
  </cellStyleXfs>
  <cellXfs count="757">
    <xf numFmtId="0" fontId="0" fillId="0" borderId="0" xfId="0"/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10" fontId="2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5" fillId="2" borderId="0" xfId="0" applyFont="1" applyFill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4" fontId="5" fillId="2" borderId="0" xfId="0" applyNumberFormat="1" applyFont="1" applyFill="1"/>
    <xf numFmtId="164" fontId="6" fillId="0" borderId="1" xfId="0" applyNumberFormat="1" applyFont="1" applyBorder="1"/>
    <xf numFmtId="164" fontId="6" fillId="2" borderId="0" xfId="0" applyNumberFormat="1" applyFont="1" applyFill="1"/>
    <xf numFmtId="0" fontId="5" fillId="0" borderId="0" xfId="0" applyFont="1"/>
    <xf numFmtId="164" fontId="5" fillId="2" borderId="2" xfId="0" applyNumberFormat="1" applyFont="1" applyFill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5" fontId="8" fillId="0" borderId="0" xfId="0" applyNumberFormat="1" applyFont="1"/>
    <xf numFmtId="0" fontId="8" fillId="6" borderId="6" xfId="0" applyFont="1" applyFill="1" applyBorder="1"/>
    <xf numFmtId="0" fontId="8" fillId="6" borderId="7" xfId="0" applyFont="1" applyFill="1" applyBorder="1"/>
    <xf numFmtId="165" fontId="11" fillId="6" borderId="7" xfId="0" applyNumberFormat="1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7" xfId="0" applyFont="1" applyFill="1" applyBorder="1"/>
    <xf numFmtId="0" fontId="8" fillId="6" borderId="8" xfId="0" applyFont="1" applyFill="1" applyBorder="1"/>
    <xf numFmtId="0" fontId="8" fillId="4" borderId="7" xfId="0" applyFont="1" applyFill="1" applyBorder="1"/>
    <xf numFmtId="165" fontId="8" fillId="6" borderId="7" xfId="0" applyNumberFormat="1" applyFont="1" applyFill="1" applyBorder="1" applyAlignment="1">
      <alignment horizontal="center"/>
    </xf>
    <xf numFmtId="166" fontId="8" fillId="6" borderId="7" xfId="0" applyNumberFormat="1" applyFont="1" applyFill="1" applyBorder="1"/>
    <xf numFmtId="167" fontId="8" fillId="6" borderId="0" xfId="0" applyNumberFormat="1" applyFont="1" applyFill="1"/>
    <xf numFmtId="168" fontId="8" fillId="6" borderId="8" xfId="0" applyNumberFormat="1" applyFont="1" applyFill="1" applyBorder="1"/>
    <xf numFmtId="168" fontId="8" fillId="6" borderId="7" xfId="0" applyNumberFormat="1" applyFont="1" applyFill="1" applyBorder="1"/>
    <xf numFmtId="166" fontId="8" fillId="6" borderId="8" xfId="0" applyNumberFormat="1" applyFont="1" applyFill="1" applyBorder="1"/>
    <xf numFmtId="165" fontId="8" fillId="6" borderId="8" xfId="0" applyNumberFormat="1" applyFont="1" applyFill="1" applyBorder="1"/>
    <xf numFmtId="0" fontId="8" fillId="6" borderId="9" xfId="0" applyFont="1" applyFill="1" applyBorder="1"/>
    <xf numFmtId="168" fontId="11" fillId="6" borderId="10" xfId="0" applyNumberFormat="1" applyFont="1" applyFill="1" applyBorder="1"/>
    <xf numFmtId="0" fontId="8" fillId="6" borderId="11" xfId="0" applyFont="1" applyFill="1" applyBorder="1"/>
    <xf numFmtId="165" fontId="8" fillId="6" borderId="13" xfId="0" applyNumberFormat="1" applyFont="1" applyFill="1" applyBorder="1"/>
    <xf numFmtId="0" fontId="11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165" fontId="11" fillId="6" borderId="7" xfId="0" applyNumberFormat="1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0" fontId="8" fillId="0" borderId="14" xfId="0" applyFont="1" applyBorder="1"/>
    <xf numFmtId="169" fontId="8" fillId="0" borderId="15" xfId="0" applyNumberFormat="1" applyFont="1" applyBorder="1"/>
    <xf numFmtId="165" fontId="8" fillId="4" borderId="7" xfId="0" applyNumberFormat="1" applyFont="1" applyFill="1" applyBorder="1"/>
    <xf numFmtId="168" fontId="8" fillId="0" borderId="15" xfId="0" applyNumberFormat="1" applyFont="1" applyBorder="1"/>
    <xf numFmtId="0" fontId="1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8" fillId="4" borderId="7" xfId="0" applyFont="1" applyFill="1" applyBorder="1" applyAlignment="1">
      <alignment wrapText="1"/>
    </xf>
    <xf numFmtId="0" fontId="8" fillId="4" borderId="6" xfId="0" applyFont="1" applyFill="1" applyBorder="1"/>
    <xf numFmtId="166" fontId="8" fillId="4" borderId="8" xfId="0" applyNumberFormat="1" applyFont="1" applyFill="1" applyBorder="1"/>
    <xf numFmtId="0" fontId="8" fillId="4" borderId="11" xfId="0" applyFont="1" applyFill="1" applyBorder="1" applyAlignment="1">
      <alignment wrapText="1"/>
    </xf>
    <xf numFmtId="165" fontId="8" fillId="4" borderId="11" xfId="0" applyNumberFormat="1" applyFont="1" applyFill="1" applyBorder="1"/>
    <xf numFmtId="0" fontId="8" fillId="4" borderId="11" xfId="0" applyFont="1" applyFill="1" applyBorder="1"/>
    <xf numFmtId="0" fontId="8" fillId="4" borderId="9" xfId="0" applyFont="1" applyFill="1" applyBorder="1"/>
    <xf numFmtId="166" fontId="8" fillId="4" borderId="13" xfId="0" applyNumberFormat="1" applyFont="1" applyFill="1" applyBorder="1"/>
    <xf numFmtId="165" fontId="8" fillId="6" borderId="7" xfId="0" applyNumberFormat="1" applyFont="1" applyFill="1" applyBorder="1"/>
    <xf numFmtId="0" fontId="8" fillId="6" borderId="7" xfId="0" applyFont="1" applyFill="1" applyBorder="1" applyAlignment="1">
      <alignment horizontal="center"/>
    </xf>
    <xf numFmtId="166" fontId="8" fillId="4" borderId="7" xfId="0" applyNumberFormat="1" applyFont="1" applyFill="1" applyBorder="1"/>
    <xf numFmtId="0" fontId="8" fillId="6" borderId="7" xfId="0" applyFont="1" applyFill="1" applyBorder="1" applyAlignment="1">
      <alignment horizontal="center" wrapText="1"/>
    </xf>
    <xf numFmtId="165" fontId="11" fillId="6" borderId="10" xfId="0" applyNumberFormat="1" applyFont="1" applyFill="1" applyBorder="1"/>
    <xf numFmtId="165" fontId="8" fillId="4" borderId="8" xfId="0" applyNumberFormat="1" applyFont="1" applyFill="1" applyBorder="1"/>
    <xf numFmtId="0" fontId="8" fillId="6" borderId="13" xfId="0" applyFont="1" applyFill="1" applyBorder="1"/>
    <xf numFmtId="166" fontId="8" fillId="4" borderId="11" xfId="0" applyNumberFormat="1" applyFont="1" applyFill="1" applyBorder="1"/>
    <xf numFmtId="166" fontId="8" fillId="6" borderId="13" xfId="0" applyNumberFormat="1" applyFont="1" applyFill="1" applyBorder="1"/>
    <xf numFmtId="0" fontId="8" fillId="0" borderId="15" xfId="0" applyFont="1" applyBorder="1"/>
    <xf numFmtId="0" fontId="11" fillId="0" borderId="15" xfId="0" applyFont="1" applyBorder="1" applyAlignment="1">
      <alignment horizontal="center" wrapText="1"/>
    </xf>
    <xf numFmtId="165" fontId="8" fillId="0" borderId="14" xfId="0" applyNumberFormat="1" applyFont="1" applyBorder="1"/>
    <xf numFmtId="166" fontId="8" fillId="0" borderId="0" xfId="0" applyNumberFormat="1" applyFont="1"/>
    <xf numFmtId="10" fontId="8" fillId="7" borderId="7" xfId="0" applyNumberFormat="1" applyFont="1" applyFill="1" applyBorder="1"/>
    <xf numFmtId="166" fontId="8" fillId="0" borderId="15" xfId="0" applyNumberFormat="1" applyFont="1" applyBorder="1"/>
    <xf numFmtId="166" fontId="5" fillId="0" borderId="0" xfId="0" applyNumberFormat="1" applyFont="1"/>
    <xf numFmtId="0" fontId="8" fillId="0" borderId="14" xfId="0" applyFont="1" applyBorder="1" applyAlignment="1">
      <alignment horizontal="center"/>
    </xf>
    <xf numFmtId="0" fontId="11" fillId="0" borderId="0" xfId="0" applyFont="1"/>
    <xf numFmtId="165" fontId="8" fillId="0" borderId="10" xfId="0" applyNumberFormat="1" applyFont="1" applyBorder="1"/>
    <xf numFmtId="165" fontId="8" fillId="0" borderId="15" xfId="0" applyNumberFormat="1" applyFont="1" applyBorder="1"/>
    <xf numFmtId="168" fontId="8" fillId="0" borderId="10" xfId="0" applyNumberFormat="1" applyFont="1" applyBorder="1"/>
    <xf numFmtId="0" fontId="8" fillId="7" borderId="7" xfId="0" applyFont="1" applyFill="1" applyBorder="1"/>
    <xf numFmtId="0" fontId="11" fillId="0" borderId="15" xfId="0" applyFont="1" applyBorder="1" applyAlignment="1">
      <alignment horizontal="center" vertical="center" wrapText="1"/>
    </xf>
    <xf numFmtId="169" fontId="8" fillId="0" borderId="14" xfId="0" applyNumberFormat="1" applyFont="1" applyBorder="1"/>
    <xf numFmtId="166" fontId="8" fillId="0" borderId="14" xfId="0" applyNumberFormat="1" applyFont="1" applyBorder="1"/>
    <xf numFmtId="0" fontId="8" fillId="0" borderId="14" xfId="0" applyFont="1" applyBorder="1" applyAlignment="1">
      <alignment horizontal="right" vertical="center"/>
    </xf>
    <xf numFmtId="166" fontId="8" fillId="0" borderId="10" xfId="0" applyNumberFormat="1" applyFont="1" applyBorder="1"/>
    <xf numFmtId="10" fontId="8" fillId="4" borderId="8" xfId="0" applyNumberFormat="1" applyFont="1" applyFill="1" applyBorder="1"/>
    <xf numFmtId="0" fontId="8" fillId="4" borderId="8" xfId="0" applyFont="1" applyFill="1" applyBorder="1"/>
    <xf numFmtId="0" fontId="8" fillId="4" borderId="13" xfId="0" applyFont="1" applyFill="1" applyBorder="1"/>
    <xf numFmtId="0" fontId="8" fillId="6" borderId="26" xfId="0" applyFont="1" applyFill="1" applyBorder="1"/>
    <xf numFmtId="0" fontId="11" fillId="6" borderId="27" xfId="0" applyFont="1" applyFill="1" applyBorder="1" applyAlignment="1">
      <alignment horizontal="center"/>
    </xf>
    <xf numFmtId="0" fontId="11" fillId="6" borderId="28" xfId="0" applyFont="1" applyFill="1" applyBorder="1" applyAlignment="1">
      <alignment horizontal="center"/>
    </xf>
    <xf numFmtId="171" fontId="8" fillId="6" borderId="7" xfId="0" applyNumberFormat="1" applyFont="1" applyFill="1" applyBorder="1"/>
    <xf numFmtId="171" fontId="8" fillId="6" borderId="8" xfId="0" applyNumberFormat="1" applyFont="1" applyFill="1" applyBorder="1"/>
    <xf numFmtId="0" fontId="8" fillId="6" borderId="6" xfId="0" applyFont="1" applyFill="1" applyBorder="1" applyAlignment="1">
      <alignment vertical="center" wrapText="1"/>
    </xf>
    <xf numFmtId="165" fontId="8" fillId="4" borderId="7" xfId="0" applyNumberFormat="1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10" fontId="8" fillId="4" borderId="7" xfId="0" applyNumberFormat="1" applyFont="1" applyFill="1" applyBorder="1" applyAlignment="1">
      <alignment vertical="center" wrapText="1"/>
    </xf>
    <xf numFmtId="165" fontId="8" fillId="6" borderId="8" xfId="0" applyNumberFormat="1" applyFont="1" applyFill="1" applyBorder="1" applyAlignment="1">
      <alignment vertical="center" wrapText="1"/>
    </xf>
    <xf numFmtId="165" fontId="11" fillId="6" borderId="8" xfId="0" applyNumberFormat="1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10" fontId="8" fillId="7" borderId="11" xfId="0" applyNumberFormat="1" applyFont="1" applyFill="1" applyBorder="1" applyAlignment="1">
      <alignment vertical="center" wrapText="1"/>
    </xf>
    <xf numFmtId="0" fontId="8" fillId="6" borderId="11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vertical="center" wrapText="1"/>
    </xf>
    <xf numFmtId="0" fontId="8" fillId="6" borderId="27" xfId="0" applyFont="1" applyFill="1" applyBorder="1"/>
    <xf numFmtId="0" fontId="8" fillId="6" borderId="28" xfId="0" applyFont="1" applyFill="1" applyBorder="1"/>
    <xf numFmtId="10" fontId="8" fillId="6" borderId="7" xfId="0" applyNumberFormat="1" applyFont="1" applyFill="1" applyBorder="1"/>
    <xf numFmtId="10" fontId="8" fillId="6" borderId="8" xfId="0" applyNumberFormat="1" applyFont="1" applyFill="1" applyBorder="1"/>
    <xf numFmtId="172" fontId="8" fillId="6" borderId="7" xfId="0" applyNumberFormat="1" applyFont="1" applyFill="1" applyBorder="1"/>
    <xf numFmtId="172" fontId="8" fillId="6" borderId="8" xfId="0" applyNumberFormat="1" applyFont="1" applyFill="1" applyBorder="1"/>
    <xf numFmtId="172" fontId="8" fillId="6" borderId="11" xfId="0" applyNumberFormat="1" applyFont="1" applyFill="1" applyBorder="1"/>
    <xf numFmtId="172" fontId="8" fillId="6" borderId="13" xfId="0" applyNumberFormat="1" applyFont="1" applyFill="1" applyBorder="1"/>
    <xf numFmtId="172" fontId="8" fillId="6" borderId="27" xfId="0" applyNumberFormat="1" applyFont="1" applyFill="1" applyBorder="1"/>
    <xf numFmtId="172" fontId="8" fillId="6" borderId="28" xfId="0" applyNumberFormat="1" applyFont="1" applyFill="1" applyBorder="1"/>
    <xf numFmtId="172" fontId="8" fillId="0" borderId="0" xfId="0" applyNumberFormat="1" applyFont="1"/>
    <xf numFmtId="0" fontId="13" fillId="6" borderId="19" xfId="0" applyFont="1" applyFill="1" applyBorder="1"/>
    <xf numFmtId="0" fontId="13" fillId="6" borderId="1" xfId="0" applyFont="1" applyFill="1" applyBorder="1"/>
    <xf numFmtId="172" fontId="13" fillId="6" borderId="1" xfId="0" applyNumberFormat="1" applyFont="1" applyFill="1" applyBorder="1" applyAlignment="1">
      <alignment horizontal="right"/>
    </xf>
    <xf numFmtId="172" fontId="13" fillId="6" borderId="20" xfId="0" applyNumberFormat="1" applyFont="1" applyFill="1" applyBorder="1" applyAlignment="1">
      <alignment horizontal="right"/>
    </xf>
    <xf numFmtId="0" fontId="13" fillId="6" borderId="14" xfId="0" applyFont="1" applyFill="1" applyBorder="1"/>
    <xf numFmtId="0" fontId="13" fillId="6" borderId="0" xfId="0" applyFont="1" applyFill="1"/>
    <xf numFmtId="172" fontId="13" fillId="6" borderId="0" xfId="0" applyNumberFormat="1" applyFont="1" applyFill="1" applyAlignment="1">
      <alignment horizontal="right"/>
    </xf>
    <xf numFmtId="172" fontId="13" fillId="6" borderId="15" xfId="0" applyNumberFormat="1" applyFont="1" applyFill="1" applyBorder="1" applyAlignment="1">
      <alignment horizontal="right"/>
    </xf>
    <xf numFmtId="0" fontId="13" fillId="6" borderId="15" xfId="0" applyFont="1" applyFill="1" applyBorder="1"/>
    <xf numFmtId="0" fontId="13" fillId="6" borderId="21" xfId="0" applyFont="1" applyFill="1" applyBorder="1"/>
    <xf numFmtId="0" fontId="13" fillId="6" borderId="12" xfId="0" applyFont="1" applyFill="1" applyBorder="1"/>
    <xf numFmtId="172" fontId="13" fillId="6" borderId="12" xfId="0" applyNumberFormat="1" applyFont="1" applyFill="1" applyBorder="1" applyAlignment="1">
      <alignment horizontal="right"/>
    </xf>
    <xf numFmtId="172" fontId="13" fillId="6" borderId="22" xfId="0" applyNumberFormat="1" applyFont="1" applyFill="1" applyBorder="1" applyAlignment="1">
      <alignment horizontal="right"/>
    </xf>
    <xf numFmtId="0" fontId="0" fillId="0" borderId="0" xfId="0"/>
    <xf numFmtId="0" fontId="2" fillId="4" borderId="0" xfId="0" applyFont="1" applyFill="1" applyAlignment="1">
      <alignment horizontal="right"/>
    </xf>
    <xf numFmtId="0" fontId="10" fillId="0" borderId="18" xfId="0" applyFont="1" applyBorder="1"/>
    <xf numFmtId="0" fontId="10" fillId="0" borderId="25" xfId="0" applyFont="1" applyBorder="1"/>
    <xf numFmtId="0" fontId="8" fillId="0" borderId="21" xfId="0" applyFont="1" applyBorder="1" applyAlignment="1">
      <alignment horizontal="center" vertical="center" wrapText="1"/>
    </xf>
    <xf numFmtId="0" fontId="10" fillId="0" borderId="22" xfId="0" applyFont="1" applyBorder="1"/>
    <xf numFmtId="0" fontId="11" fillId="0" borderId="14" xfId="0" applyFont="1" applyBorder="1" applyAlignment="1">
      <alignment horizontal="center" vertical="center"/>
    </xf>
    <xf numFmtId="165" fontId="8" fillId="6" borderId="6" xfId="0" applyNumberFormat="1" applyFont="1" applyFill="1" applyBorder="1"/>
    <xf numFmtId="0" fontId="8" fillId="0" borderId="18" xfId="0" applyFont="1" applyBorder="1"/>
    <xf numFmtId="0" fontId="11" fillId="0" borderId="18" xfId="0" applyFont="1" applyBorder="1" applyAlignment="1">
      <alignment horizontal="center" vertical="center"/>
    </xf>
    <xf numFmtId="169" fontId="8" fillId="0" borderId="18" xfId="0" applyNumberFormat="1" applyFont="1" applyBorder="1"/>
    <xf numFmtId="170" fontId="8" fillId="7" borderId="18" xfId="0" applyNumberFormat="1" applyFont="1" applyFill="1" applyBorder="1" applyAlignment="1">
      <alignment horizontal="center" vertical="center"/>
    </xf>
    <xf numFmtId="170" fontId="8" fillId="0" borderId="18" xfId="0" applyNumberFormat="1" applyFont="1" applyBorder="1" applyAlignment="1">
      <alignment horizontal="center" vertical="center"/>
    </xf>
    <xf numFmtId="0" fontId="5" fillId="0" borderId="18" xfId="0" applyFont="1" applyBorder="1"/>
    <xf numFmtId="0" fontId="0" fillId="0" borderId="18" xfId="0" applyBorder="1"/>
    <xf numFmtId="0" fontId="11" fillId="0" borderId="18" xfId="0" applyFont="1" applyBorder="1"/>
    <xf numFmtId="0" fontId="0" fillId="0" borderId="18" xfId="0" applyBorder="1" applyAlignment="1">
      <alignment horizontal="right"/>
    </xf>
    <xf numFmtId="9" fontId="0" fillId="0" borderId="18" xfId="0" applyNumberFormat="1" applyBorder="1"/>
    <xf numFmtId="166" fontId="5" fillId="0" borderId="18" xfId="0" applyNumberFormat="1" applyFont="1" applyBorder="1"/>
    <xf numFmtId="170" fontId="8" fillId="7" borderId="18" xfId="0" applyNumberFormat="1" applyFont="1" applyFill="1" applyBorder="1"/>
    <xf numFmtId="10" fontId="8" fillId="7" borderId="18" xfId="0" applyNumberFormat="1" applyFont="1" applyFill="1" applyBorder="1"/>
    <xf numFmtId="166" fontId="8" fillId="0" borderId="18" xfId="0" applyNumberFormat="1" applyFont="1" applyBorder="1"/>
    <xf numFmtId="170" fontId="8" fillId="0" borderId="18" xfId="0" applyNumberFormat="1" applyFont="1" applyFill="1" applyBorder="1" applyAlignment="1">
      <alignment horizontal="center" vertical="center"/>
    </xf>
    <xf numFmtId="170" fontId="8" fillId="0" borderId="18" xfId="0" applyNumberFormat="1" applyFont="1" applyFill="1" applyBorder="1"/>
    <xf numFmtId="0" fontId="18" fillId="0" borderId="18" xfId="0" applyFont="1" applyBorder="1"/>
    <xf numFmtId="168" fontId="18" fillId="0" borderId="18" xfId="0" applyNumberFormat="1" applyFont="1" applyBorder="1"/>
    <xf numFmtId="0" fontId="11" fillId="0" borderId="32" xfId="0" applyFont="1" applyBorder="1" applyAlignment="1">
      <alignment horizontal="center" vertical="center"/>
    </xf>
    <xf numFmtId="0" fontId="8" fillId="0" borderId="33" xfId="0" applyFont="1" applyBorder="1"/>
    <xf numFmtId="0" fontId="11" fillId="0" borderId="33" xfId="0" applyFont="1" applyBorder="1" applyAlignment="1">
      <alignment horizontal="center" vertical="center" wrapText="1"/>
    </xf>
    <xf numFmtId="169" fontId="8" fillId="0" borderId="32" xfId="0" applyNumberFormat="1" applyFont="1" applyBorder="1"/>
    <xf numFmtId="169" fontId="8" fillId="0" borderId="33" xfId="0" applyNumberFormat="1" applyFont="1" applyBorder="1"/>
    <xf numFmtId="166" fontId="8" fillId="0" borderId="33" xfId="0" applyNumberFormat="1" applyFont="1" applyBorder="1"/>
    <xf numFmtId="0" fontId="8" fillId="0" borderId="32" xfId="0" applyFont="1" applyBorder="1"/>
    <xf numFmtId="168" fontId="8" fillId="0" borderId="33" xfId="0" applyNumberFormat="1" applyFont="1" applyBorder="1"/>
    <xf numFmtId="166" fontId="8" fillId="0" borderId="32" xfId="0" applyNumberFormat="1" applyFont="1" applyBorder="1"/>
    <xf numFmtId="0" fontId="8" fillId="0" borderId="32" xfId="0" applyFont="1" applyBorder="1" applyAlignment="1">
      <alignment horizontal="right" vertical="center"/>
    </xf>
    <xf numFmtId="168" fontId="8" fillId="0" borderId="34" xfId="0" applyNumberFormat="1" applyFont="1" applyBorder="1"/>
    <xf numFmtId="166" fontId="8" fillId="0" borderId="34" xfId="0" applyNumberFormat="1" applyFont="1" applyBorder="1"/>
    <xf numFmtId="0" fontId="8" fillId="0" borderId="35" xfId="0" applyFont="1" applyBorder="1" applyAlignment="1">
      <alignment horizontal="right" vertical="center"/>
    </xf>
    <xf numFmtId="0" fontId="8" fillId="0" borderId="36" xfId="0" applyFont="1" applyBorder="1"/>
    <xf numFmtId="0" fontId="11" fillId="0" borderId="36" xfId="0" applyFont="1" applyBorder="1"/>
    <xf numFmtId="168" fontId="8" fillId="0" borderId="37" xfId="0" applyNumberFormat="1" applyFont="1" applyBorder="1"/>
    <xf numFmtId="0" fontId="8" fillId="0" borderId="35" xfId="0" applyFont="1" applyBorder="1"/>
    <xf numFmtId="0" fontId="0" fillId="0" borderId="36" xfId="0" applyBorder="1"/>
    <xf numFmtId="166" fontId="8" fillId="0" borderId="37" xfId="0" applyNumberFormat="1" applyFont="1" applyBorder="1"/>
    <xf numFmtId="0" fontId="8" fillId="0" borderId="18" xfId="0" applyFont="1" applyBorder="1" applyAlignment="1">
      <alignment horizontal="right" vertical="center"/>
    </xf>
    <xf numFmtId="168" fontId="8" fillId="0" borderId="18" xfId="0" applyNumberFormat="1" applyFont="1" applyBorder="1"/>
    <xf numFmtId="0" fontId="12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/>
    </xf>
    <xf numFmtId="3" fontId="5" fillId="0" borderId="18" xfId="0" applyNumberFormat="1" applyFont="1" applyBorder="1"/>
    <xf numFmtId="170" fontId="5" fillId="0" borderId="18" xfId="0" applyNumberFormat="1" applyFont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right"/>
    </xf>
    <xf numFmtId="0" fontId="6" fillId="8" borderId="38" xfId="0" applyFont="1" applyFill="1" applyBorder="1"/>
    <xf numFmtId="0" fontId="5" fillId="8" borderId="39" xfId="0" applyFont="1" applyFill="1" applyBorder="1"/>
    <xf numFmtId="0" fontId="5" fillId="8" borderId="40" xfId="0" applyFont="1" applyFill="1" applyBorder="1"/>
    <xf numFmtId="0" fontId="20" fillId="8" borderId="41" xfId="0" applyFont="1" applyFill="1" applyBorder="1" applyAlignment="1">
      <alignment readingOrder="1"/>
    </xf>
    <xf numFmtId="0" fontId="5" fillId="8" borderId="42" xfId="0" applyFont="1" applyFill="1" applyBorder="1"/>
    <xf numFmtId="9" fontId="6" fillId="9" borderId="43" xfId="0" applyNumberFormat="1" applyFont="1" applyFill="1" applyBorder="1"/>
    <xf numFmtId="0" fontId="20" fillId="8" borderId="44" xfId="0" applyFont="1" applyFill="1" applyBorder="1" applyAlignment="1">
      <alignment horizontal="left" readingOrder="1"/>
    </xf>
    <xf numFmtId="0" fontId="20" fillId="8" borderId="45" xfId="0" applyFont="1" applyFill="1" applyBorder="1" applyAlignment="1">
      <alignment horizontal="left" readingOrder="1"/>
    </xf>
    <xf numFmtId="9" fontId="5" fillId="8" borderId="40" xfId="0" applyNumberFormat="1" applyFont="1" applyFill="1" applyBorder="1"/>
    <xf numFmtId="0" fontId="6" fillId="0" borderId="18" xfId="0" applyFont="1" applyBorder="1"/>
    <xf numFmtId="0" fontId="21" fillId="0" borderId="41" xfId="0" applyFont="1" applyBorder="1" applyAlignment="1">
      <alignment horizontal="left" readingOrder="1"/>
    </xf>
    <xf numFmtId="0" fontId="5" fillId="0" borderId="42" xfId="0" applyFont="1" applyBorder="1"/>
    <xf numFmtId="173" fontId="6" fillId="9" borderId="43" xfId="0" applyNumberFormat="1" applyFont="1" applyFill="1" applyBorder="1"/>
    <xf numFmtId="0" fontId="22" fillId="0" borderId="18" xfId="0" applyFont="1" applyBorder="1"/>
    <xf numFmtId="0" fontId="20" fillId="0" borderId="41" xfId="0" applyFont="1" applyBorder="1" applyAlignment="1">
      <alignment readingOrder="1"/>
    </xf>
    <xf numFmtId="0" fontId="5" fillId="0" borderId="46" xfId="0" applyFont="1" applyBorder="1"/>
    <xf numFmtId="173" fontId="6" fillId="0" borderId="42" xfId="0" applyNumberFormat="1" applyFont="1" applyBorder="1"/>
    <xf numFmtId="0" fontId="6" fillId="0" borderId="42" xfId="0" applyFont="1" applyBorder="1"/>
    <xf numFmtId="3" fontId="5" fillId="0" borderId="48" xfId="0" applyNumberFormat="1" applyFont="1" applyBorder="1" applyAlignment="1">
      <alignment horizontal="center"/>
    </xf>
    <xf numFmtId="0" fontId="6" fillId="0" borderId="48" xfId="0" applyFont="1" applyFill="1" applyBorder="1" applyAlignment="1">
      <alignment horizontal="center"/>
    </xf>
    <xf numFmtId="9" fontId="5" fillId="0" borderId="50" xfId="0" applyNumberFormat="1" applyFont="1" applyBorder="1" applyAlignment="1">
      <alignment horizontal="left"/>
    </xf>
    <xf numFmtId="9" fontId="5" fillId="0" borderId="18" xfId="0" applyNumberFormat="1" applyFont="1" applyBorder="1" applyAlignment="1">
      <alignment horizontal="right"/>
    </xf>
    <xf numFmtId="9" fontId="5" fillId="9" borderId="51" xfId="0" applyNumberFormat="1" applyFont="1" applyFill="1" applyBorder="1"/>
    <xf numFmtId="3" fontId="6" fillId="0" borderId="18" xfId="0" applyNumberFormat="1" applyFont="1" applyBorder="1" applyAlignment="1">
      <alignment horizontal="left"/>
    </xf>
    <xf numFmtId="0" fontId="21" fillId="0" borderId="50" xfId="0" applyFont="1" applyBorder="1" applyAlignment="1">
      <alignment horizontal="left" readingOrder="1"/>
    </xf>
    <xf numFmtId="0" fontId="5" fillId="0" borderId="53" xfId="0" applyFont="1" applyBorder="1"/>
    <xf numFmtId="0" fontId="5" fillId="0" borderId="54" xfId="0" applyFont="1" applyBorder="1"/>
    <xf numFmtId="0" fontId="6" fillId="0" borderId="50" xfId="0" applyFont="1" applyBorder="1"/>
    <xf numFmtId="174" fontId="6" fillId="9" borderId="52" xfId="0" applyNumberFormat="1" applyFont="1" applyFill="1" applyBorder="1"/>
    <xf numFmtId="3" fontId="5" fillId="0" borderId="48" xfId="0" applyNumberFormat="1" applyFont="1" applyBorder="1"/>
    <xf numFmtId="0" fontId="21" fillId="0" borderId="53" xfId="0" applyFont="1" applyBorder="1" applyAlignment="1">
      <alignment horizontal="left" readingOrder="1"/>
    </xf>
    <xf numFmtId="0" fontId="5" fillId="0" borderId="55" xfId="0" applyFont="1" applyBorder="1"/>
    <xf numFmtId="0" fontId="6" fillId="8" borderId="57" xfId="0" applyFont="1" applyFill="1" applyBorder="1"/>
    <xf numFmtId="0" fontId="5" fillId="8" borderId="58" xfId="0" applyFont="1" applyFill="1" applyBorder="1"/>
    <xf numFmtId="0" fontId="6" fillId="0" borderId="53" xfId="0" applyFont="1" applyBorder="1"/>
    <xf numFmtId="0" fontId="6" fillId="0" borderId="55" xfId="0" applyFont="1" applyBorder="1"/>
    <xf numFmtId="173" fontId="6" fillId="9" borderId="56" xfId="0" applyNumberFormat="1" applyFont="1" applyFill="1" applyBorder="1"/>
    <xf numFmtId="170" fontId="5" fillId="9" borderId="51" xfId="0" applyNumberFormat="1" applyFont="1" applyFill="1" applyBorder="1"/>
    <xf numFmtId="0" fontId="21" fillId="0" borderId="38" xfId="0" applyFont="1" applyBorder="1" applyAlignment="1">
      <alignment horizontal="left" readingOrder="1"/>
    </xf>
    <xf numFmtId="0" fontId="5" fillId="0" borderId="39" xfId="0" applyFont="1" applyBorder="1"/>
    <xf numFmtId="173" fontId="6" fillId="0" borderId="60" xfId="0" applyNumberFormat="1" applyFont="1" applyBorder="1"/>
    <xf numFmtId="0" fontId="21" fillId="0" borderId="61" xfId="0" applyFont="1" applyBorder="1" applyAlignment="1">
      <alignment horizontal="left" readingOrder="1"/>
    </xf>
    <xf numFmtId="0" fontId="5" fillId="0" borderId="62" xfId="0" applyFont="1" applyBorder="1"/>
    <xf numFmtId="0" fontId="6" fillId="0" borderId="54" xfId="0" applyFont="1" applyBorder="1"/>
    <xf numFmtId="173" fontId="6" fillId="9" borderId="63" xfId="0" applyNumberFormat="1" applyFont="1" applyFill="1" applyBorder="1"/>
    <xf numFmtId="173" fontId="6" fillId="0" borderId="56" xfId="0" applyNumberFormat="1" applyFont="1" applyBorder="1"/>
    <xf numFmtId="0" fontId="5" fillId="8" borderId="65" xfId="0" applyFont="1" applyFill="1" applyBorder="1"/>
    <xf numFmtId="170" fontId="6" fillId="9" borderId="66" xfId="0" applyNumberFormat="1" applyFont="1" applyFill="1" applyBorder="1"/>
    <xf numFmtId="9" fontId="5" fillId="0" borderId="53" xfId="0" applyNumberFormat="1" applyFont="1" applyBorder="1" applyAlignment="1">
      <alignment horizontal="left"/>
    </xf>
    <xf numFmtId="9" fontId="5" fillId="0" borderId="55" xfId="0" applyNumberFormat="1" applyFont="1" applyBorder="1" applyAlignment="1">
      <alignment horizontal="right"/>
    </xf>
    <xf numFmtId="170" fontId="5" fillId="9" borderId="63" xfId="0" applyNumberFormat="1" applyFont="1" applyFill="1" applyBorder="1"/>
    <xf numFmtId="173" fontId="6" fillId="0" borderId="67" xfId="0" applyNumberFormat="1" applyFont="1" applyFill="1" applyBorder="1"/>
    <xf numFmtId="0" fontId="5" fillId="0" borderId="38" xfId="0" applyFont="1" applyBorder="1"/>
    <xf numFmtId="175" fontId="5" fillId="9" borderId="40" xfId="0" applyNumberFormat="1" applyFont="1" applyFill="1" applyBorder="1" applyAlignment="1">
      <alignment horizontal="center"/>
    </xf>
    <xf numFmtId="0" fontId="6" fillId="8" borderId="39" xfId="0" applyFont="1" applyFill="1" applyBorder="1"/>
    <xf numFmtId="0" fontId="6" fillId="8" borderId="40" xfId="0" applyFont="1" applyFill="1" applyBorder="1"/>
    <xf numFmtId="170" fontId="5" fillId="0" borderId="64" xfId="0" applyNumberFormat="1" applyFont="1" applyBorder="1"/>
    <xf numFmtId="173" fontId="5" fillId="0" borderId="56" xfId="0" applyNumberFormat="1" applyFont="1" applyFill="1" applyBorder="1"/>
    <xf numFmtId="0" fontId="5" fillId="0" borderId="41" xfId="0" applyFont="1" applyBorder="1"/>
    <xf numFmtId="0" fontId="5" fillId="0" borderId="68" xfId="0" applyFont="1" applyBorder="1"/>
    <xf numFmtId="0" fontId="17" fillId="0" borderId="41" xfId="0" applyFont="1" applyBorder="1"/>
    <xf numFmtId="0" fontId="0" fillId="0" borderId="42" xfId="0" applyBorder="1"/>
    <xf numFmtId="0" fontId="0" fillId="0" borderId="68" xfId="0" applyBorder="1"/>
    <xf numFmtId="0" fontId="6" fillId="10" borderId="69" xfId="0" applyFont="1" applyFill="1" applyBorder="1" applyAlignment="1"/>
    <xf numFmtId="3" fontId="6" fillId="10" borderId="70" xfId="0" applyNumberFormat="1" applyFont="1" applyFill="1" applyBorder="1" applyAlignment="1"/>
    <xf numFmtId="0" fontId="6" fillId="10" borderId="70" xfId="0" applyFont="1" applyFill="1" applyBorder="1" applyAlignment="1"/>
    <xf numFmtId="173" fontId="6" fillId="10" borderId="71" xfId="0" applyNumberFormat="1" applyFont="1" applyFill="1" applyBorder="1"/>
    <xf numFmtId="0" fontId="5" fillId="0" borderId="50" xfId="0" applyFont="1" applyBorder="1"/>
    <xf numFmtId="9" fontId="5" fillId="9" borderId="43" xfId="0" applyNumberFormat="1" applyFont="1" applyFill="1" applyBorder="1"/>
    <xf numFmtId="0" fontId="5" fillId="0" borderId="51" xfId="0" applyFont="1" applyBorder="1"/>
    <xf numFmtId="0" fontId="0" fillId="0" borderId="72" xfId="0" applyBorder="1"/>
    <xf numFmtId="0" fontId="23" fillId="0" borderId="36" xfId="1" applyFont="1" applyBorder="1" applyAlignment="1" applyProtection="1"/>
    <xf numFmtId="0" fontId="0" fillId="0" borderId="73" xfId="0" applyBorder="1"/>
    <xf numFmtId="0" fontId="20" fillId="8" borderId="74" xfId="0" applyFont="1" applyFill="1" applyBorder="1" applyAlignment="1">
      <alignment horizontal="left" readingOrder="1"/>
    </xf>
    <xf numFmtId="176" fontId="5" fillId="0" borderId="18" xfId="2" applyNumberFormat="1" applyFont="1" applyFill="1" applyBorder="1"/>
    <xf numFmtId="0" fontId="6" fillId="0" borderId="18" xfId="0" applyFont="1" applyBorder="1" applyAlignment="1">
      <alignment horizontal="left"/>
    </xf>
    <xf numFmtId="170" fontId="5" fillId="9" borderId="52" xfId="0" applyNumberFormat="1" applyFont="1" applyFill="1" applyBorder="1"/>
    <xf numFmtId="0" fontId="0" fillId="0" borderId="75" xfId="0" applyBorder="1"/>
    <xf numFmtId="0" fontId="0" fillId="0" borderId="51" xfId="0" applyBorder="1"/>
    <xf numFmtId="9" fontId="5" fillId="9" borderId="63" xfId="0" applyNumberFormat="1" applyFont="1" applyFill="1" applyBorder="1"/>
    <xf numFmtId="0" fontId="5" fillId="0" borderId="50" xfId="0" applyFont="1" applyBorder="1" applyAlignment="1">
      <alignment horizontal="left"/>
    </xf>
    <xf numFmtId="0" fontId="0" fillId="0" borderId="50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0" xfId="0" applyFill="1" applyBorder="1"/>
    <xf numFmtId="0" fontId="0" fillId="0" borderId="76" xfId="0" applyFill="1" applyBorder="1"/>
    <xf numFmtId="177" fontId="19" fillId="0" borderId="18" xfId="0" applyNumberFormat="1" applyFont="1" applyBorder="1" applyAlignment="1">
      <alignment horizontal="center"/>
    </xf>
    <xf numFmtId="170" fontId="5" fillId="0" borderId="52" xfId="0" applyNumberFormat="1" applyFont="1" applyFill="1" applyBorder="1"/>
    <xf numFmtId="0" fontId="5" fillId="0" borderId="53" xfId="0" applyFont="1" applyBorder="1" applyAlignment="1">
      <alignment horizontal="left"/>
    </xf>
    <xf numFmtId="0" fontId="5" fillId="0" borderId="63" xfId="0" applyFont="1" applyBorder="1"/>
    <xf numFmtId="2" fontId="0" fillId="9" borderId="32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0" borderId="18" xfId="0" applyNumberFormat="1" applyFill="1" applyBorder="1"/>
    <xf numFmtId="2" fontId="0" fillId="0" borderId="51" xfId="0" applyNumberFormat="1" applyFill="1" applyBorder="1"/>
    <xf numFmtId="170" fontId="5" fillId="0" borderId="64" xfId="0" applyNumberFormat="1" applyFont="1" applyBorder="1" applyAlignment="1">
      <alignment horizontal="center"/>
    </xf>
    <xf numFmtId="173" fontId="6" fillId="0" borderId="67" xfId="0" applyNumberFormat="1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6" fontId="5" fillId="0" borderId="18" xfId="0" applyNumberFormat="1" applyFont="1" applyBorder="1"/>
    <xf numFmtId="170" fontId="5" fillId="9" borderId="56" xfId="0" applyNumberFormat="1" applyFont="1" applyFill="1" applyBorder="1"/>
    <xf numFmtId="3" fontId="0" fillId="0" borderId="18" xfId="0" applyNumberFormat="1" applyFill="1" applyBorder="1"/>
    <xf numFmtId="3" fontId="0" fillId="0" borderId="51" xfId="0" applyNumberFormat="1" applyFill="1" applyBorder="1"/>
    <xf numFmtId="10" fontId="5" fillId="0" borderId="18" xfId="0" applyNumberFormat="1" applyFont="1" applyBorder="1" applyAlignment="1">
      <alignment horizontal="right"/>
    </xf>
    <xf numFmtId="9" fontId="5" fillId="9" borderId="56" xfId="0" applyNumberFormat="1" applyFont="1" applyFill="1" applyBorder="1"/>
    <xf numFmtId="2" fontId="0" fillId="0" borderId="63" xfId="0" applyNumberFormat="1" applyBorder="1"/>
    <xf numFmtId="0" fontId="23" fillId="0" borderId="18" xfId="1" applyFont="1" applyBorder="1" applyAlignment="1" applyProtection="1"/>
    <xf numFmtId="177" fontId="24" fillId="0" borderId="18" xfId="0" applyNumberFormat="1" applyFont="1" applyBorder="1" applyAlignment="1">
      <alignment horizontal="center"/>
    </xf>
    <xf numFmtId="177" fontId="23" fillId="0" borderId="18" xfId="1" applyNumberFormat="1" applyFont="1" applyBorder="1" applyAlignment="1" applyProtection="1">
      <alignment horizontal="left"/>
    </xf>
    <xf numFmtId="9" fontId="5" fillId="10" borderId="66" xfId="0" applyNumberFormat="1" applyFont="1" applyFill="1" applyBorder="1"/>
    <xf numFmtId="0" fontId="6" fillId="11" borderId="77" xfId="0" applyFont="1" applyFill="1" applyBorder="1" applyAlignment="1">
      <alignment horizontal="left" vertical="center" wrapText="1"/>
    </xf>
    <xf numFmtId="9" fontId="6" fillId="11" borderId="38" xfId="0" applyNumberFormat="1" applyFont="1" applyFill="1" applyBorder="1" applyAlignment="1">
      <alignment vertical="center"/>
    </xf>
    <xf numFmtId="0" fontId="6" fillId="0" borderId="38" xfId="0" applyFont="1" applyFill="1" applyBorder="1" applyAlignment="1">
      <alignment horizontal="center" wrapText="1"/>
    </xf>
    <xf numFmtId="0" fontId="0" fillId="0" borderId="40" xfId="0" applyFill="1" applyBorder="1"/>
    <xf numFmtId="0" fontId="6" fillId="12" borderId="38" xfId="0" applyFont="1" applyFill="1" applyBorder="1"/>
    <xf numFmtId="0" fontId="0" fillId="12" borderId="39" xfId="0" applyFill="1" applyBorder="1"/>
    <xf numFmtId="0" fontId="6" fillId="13" borderId="41" xfId="0" applyFont="1" applyFill="1" applyBorder="1"/>
    <xf numFmtId="0" fontId="6" fillId="13" borderId="42" xfId="0" applyFont="1" applyFill="1" applyBorder="1"/>
    <xf numFmtId="0" fontId="5" fillId="13" borderId="42" xfId="0" applyFont="1" applyFill="1" applyBorder="1"/>
    <xf numFmtId="0" fontId="6" fillId="13" borderId="42" xfId="0" applyFont="1" applyFill="1" applyBorder="1" applyAlignment="1">
      <alignment horizontal="left"/>
    </xf>
    <xf numFmtId="0" fontId="6" fillId="13" borderId="39" xfId="0" applyFont="1" applyFill="1" applyBorder="1" applyAlignment="1">
      <alignment horizontal="left"/>
    </xf>
    <xf numFmtId="0" fontId="6" fillId="13" borderId="40" xfId="0" applyFont="1" applyFill="1" applyBorder="1" applyAlignment="1">
      <alignment horizontal="left"/>
    </xf>
    <xf numFmtId="0" fontId="6" fillId="13" borderId="38" xfId="0" applyFont="1" applyFill="1" applyBorder="1" applyAlignment="1">
      <alignment horizontal="left"/>
    </xf>
    <xf numFmtId="0" fontId="6" fillId="13" borderId="42" xfId="0" applyFont="1" applyFill="1" applyBorder="1" applyAlignment="1">
      <alignment horizontal="center"/>
    </xf>
    <xf numFmtId="0" fontId="5" fillId="13" borderId="39" xfId="0" applyFont="1" applyFill="1" applyBorder="1" applyAlignment="1">
      <alignment horizontal="left"/>
    </xf>
    <xf numFmtId="0" fontId="5" fillId="13" borderId="39" xfId="0" applyFont="1" applyFill="1" applyBorder="1" applyAlignment="1">
      <alignment horizontal="center"/>
    </xf>
    <xf numFmtId="0" fontId="6" fillId="15" borderId="38" xfId="0" applyFont="1" applyFill="1" applyBorder="1" applyAlignment="1"/>
    <xf numFmtId="0" fontId="6" fillId="15" borderId="39" xfId="0" applyFont="1" applyFill="1" applyBorder="1" applyAlignment="1"/>
    <xf numFmtId="0" fontId="5" fillId="15" borderId="40" xfId="0" applyFont="1" applyFill="1" applyBorder="1" applyAlignment="1">
      <alignment horizontal="center"/>
    </xf>
    <xf numFmtId="0" fontId="6" fillId="16" borderId="41" xfId="0" applyFont="1" applyFill="1" applyBorder="1" applyAlignment="1"/>
    <xf numFmtId="0" fontId="6" fillId="16" borderId="42" xfId="0" applyFont="1" applyFill="1" applyBorder="1" applyAlignment="1"/>
    <xf numFmtId="0" fontId="6" fillId="16" borderId="39" xfId="0" applyFont="1" applyFill="1" applyBorder="1" applyAlignment="1"/>
    <xf numFmtId="0" fontId="6" fillId="12" borderId="77" xfId="0" applyFont="1" applyFill="1" applyBorder="1" applyAlignment="1"/>
    <xf numFmtId="0" fontId="5" fillId="0" borderId="77" xfId="0" applyFont="1" applyBorder="1" applyAlignment="1">
      <alignment horizontal="right"/>
    </xf>
    <xf numFmtId="3" fontId="5" fillId="0" borderId="77" xfId="0" applyNumberFormat="1" applyFont="1" applyBorder="1" applyAlignment="1">
      <alignment horizontal="center" wrapText="1"/>
    </xf>
    <xf numFmtId="0" fontId="5" fillId="15" borderId="50" xfId="0" applyFont="1" applyFill="1" applyBorder="1" applyAlignment="1">
      <alignment horizontal="center" wrapText="1"/>
    </xf>
    <xf numFmtId="0" fontId="5" fillId="0" borderId="50" xfId="0" applyFont="1" applyFill="1" applyBorder="1" applyAlignment="1">
      <alignment horizontal="center" wrapText="1"/>
    </xf>
    <xf numFmtId="0" fontId="5" fillId="12" borderId="50" xfId="0" applyFont="1" applyFill="1" applyBorder="1" applyAlignment="1">
      <alignment horizontal="center" wrapText="1"/>
    </xf>
    <xf numFmtId="0" fontId="5" fillId="12" borderId="41" xfId="0" applyFont="1" applyFill="1" applyBorder="1" applyAlignment="1">
      <alignment horizontal="center" wrapText="1"/>
    </xf>
    <xf numFmtId="0" fontId="5" fillId="12" borderId="77" xfId="0" applyFont="1" applyFill="1" applyBorder="1" applyAlignment="1">
      <alignment horizontal="center" wrapText="1"/>
    </xf>
    <xf numFmtId="3" fontId="5" fillId="0" borderId="41" xfId="0" applyNumberFormat="1" applyFont="1" applyFill="1" applyBorder="1" applyAlignment="1">
      <alignment horizontal="right" wrapText="1"/>
    </xf>
    <xf numFmtId="3" fontId="5" fillId="0" borderId="42" xfId="0" applyNumberFormat="1" applyFont="1" applyFill="1" applyBorder="1" applyAlignment="1">
      <alignment horizontal="right" wrapText="1"/>
    </xf>
    <xf numFmtId="3" fontId="5" fillId="0" borderId="68" xfId="0" applyNumberFormat="1" applyFont="1" applyFill="1" applyBorder="1" applyAlignment="1">
      <alignment horizontal="right" wrapText="1"/>
    </xf>
    <xf numFmtId="3" fontId="5" fillId="13" borderId="18" xfId="0" applyNumberFormat="1" applyFont="1" applyFill="1" applyBorder="1" applyAlignment="1">
      <alignment horizontal="right" wrapText="1"/>
    </xf>
    <xf numFmtId="3" fontId="5" fillId="13" borderId="51" xfId="0" applyNumberFormat="1" applyFont="1" applyFill="1" applyBorder="1" applyAlignment="1">
      <alignment horizontal="right" wrapText="1"/>
    </xf>
    <xf numFmtId="3" fontId="5" fillId="17" borderId="50" xfId="0" applyNumberFormat="1" applyFont="1" applyFill="1" applyBorder="1" applyAlignment="1">
      <alignment horizontal="right" wrapText="1"/>
    </xf>
    <xf numFmtId="3" fontId="5" fillId="13" borderId="41" xfId="0" applyNumberFormat="1" applyFont="1" applyFill="1" applyBorder="1" applyAlignment="1">
      <alignment horizontal="right" wrapText="1"/>
    </xf>
    <xf numFmtId="3" fontId="5" fillId="13" borderId="68" xfId="0" applyNumberFormat="1" applyFont="1" applyFill="1" applyBorder="1" applyAlignment="1">
      <alignment horizontal="right" wrapText="1"/>
    </xf>
    <xf numFmtId="3" fontId="5" fillId="13" borderId="42" xfId="0" applyNumberFormat="1" applyFont="1" applyFill="1" applyBorder="1" applyAlignment="1">
      <alignment horizontal="right" wrapText="1"/>
    </xf>
    <xf numFmtId="0" fontId="5" fillId="13" borderId="68" xfId="0" applyFont="1" applyFill="1" applyBorder="1" applyAlignment="1">
      <alignment horizontal="right" wrapText="1"/>
    </xf>
    <xf numFmtId="3" fontId="5" fillId="15" borderId="50" xfId="0" applyNumberFormat="1" applyFont="1" applyFill="1" applyBorder="1" applyAlignment="1">
      <alignment horizontal="right" wrapText="1"/>
    </xf>
    <xf numFmtId="3" fontId="5" fillId="15" borderId="18" xfId="0" applyNumberFormat="1" applyFont="1" applyFill="1" applyBorder="1" applyAlignment="1">
      <alignment horizontal="right" wrapText="1"/>
    </xf>
    <xf numFmtId="3" fontId="6" fillId="14" borderId="50" xfId="0" applyNumberFormat="1" applyFont="1" applyFill="1" applyBorder="1" applyAlignment="1">
      <alignment horizontal="center" wrapText="1"/>
    </xf>
    <xf numFmtId="170" fontId="5" fillId="16" borderId="41" xfId="0" applyNumberFormat="1" applyFont="1" applyFill="1" applyBorder="1" applyAlignment="1">
      <alignment horizontal="center" wrapText="1"/>
    </xf>
    <xf numFmtId="0" fontId="5" fillId="16" borderId="42" xfId="0" applyFont="1" applyFill="1" applyBorder="1" applyAlignment="1">
      <alignment horizontal="center" wrapText="1"/>
    </xf>
    <xf numFmtId="0" fontId="5" fillId="16" borderId="41" xfId="0" applyFont="1" applyFill="1" applyBorder="1" applyAlignment="1">
      <alignment horizontal="center" wrapText="1"/>
    </xf>
    <xf numFmtId="0" fontId="5" fillId="16" borderId="68" xfId="0" applyFont="1" applyFill="1" applyBorder="1" applyAlignment="1">
      <alignment horizontal="center" wrapText="1"/>
    </xf>
    <xf numFmtId="0" fontId="5" fillId="16" borderId="77" xfId="0" applyFont="1" applyFill="1" applyBorder="1" applyAlignment="1">
      <alignment horizontal="center" wrapText="1"/>
    </xf>
    <xf numFmtId="0" fontId="5" fillId="16" borderId="50" xfId="0" applyFont="1" applyFill="1" applyBorder="1" applyAlignment="1">
      <alignment horizontal="center" wrapText="1"/>
    </xf>
    <xf numFmtId="0" fontId="5" fillId="16" borderId="18" xfId="0" applyFont="1" applyFill="1" applyBorder="1" applyAlignment="1">
      <alignment horizontal="center" wrapText="1"/>
    </xf>
    <xf numFmtId="0" fontId="5" fillId="12" borderId="78" xfId="0" applyFont="1" applyFill="1" applyBorder="1" applyAlignment="1">
      <alignment horizontal="center" wrapText="1"/>
    </xf>
    <xf numFmtId="0" fontId="5" fillId="0" borderId="79" xfId="0" applyFont="1" applyBorder="1" applyAlignment="1">
      <alignment horizontal="right"/>
    </xf>
    <xf numFmtId="3" fontId="5" fillId="0" borderId="79" xfId="0" applyNumberFormat="1" applyFont="1" applyBorder="1" applyAlignment="1">
      <alignment horizontal="center"/>
    </xf>
    <xf numFmtId="0" fontId="5" fillId="15" borderId="53" xfId="0" applyFont="1" applyFill="1" applyBorder="1" applyAlignment="1">
      <alignment horizontal="center"/>
    </xf>
    <xf numFmtId="0" fontId="5" fillId="12" borderId="53" xfId="0" applyFont="1" applyFill="1" applyBorder="1" applyAlignment="1">
      <alignment horizontal="center"/>
    </xf>
    <xf numFmtId="170" fontId="5" fillId="12" borderId="79" xfId="0" applyNumberFormat="1" applyFont="1" applyFill="1" applyBorder="1" applyAlignment="1">
      <alignment horizontal="center"/>
    </xf>
    <xf numFmtId="170" fontId="5" fillId="0" borderId="53" xfId="0" applyNumberFormat="1" applyFont="1" applyFill="1" applyBorder="1" applyAlignment="1">
      <alignment horizontal="right"/>
    </xf>
    <xf numFmtId="170" fontId="5" fillId="0" borderId="55" xfId="0" applyNumberFormat="1" applyFont="1" applyFill="1" applyBorder="1" applyAlignment="1">
      <alignment horizontal="right"/>
    </xf>
    <xf numFmtId="9" fontId="5" fillId="0" borderId="63" xfId="0" applyNumberFormat="1" applyFont="1" applyFill="1" applyBorder="1" applyAlignment="1">
      <alignment horizontal="right"/>
    </xf>
    <xf numFmtId="9" fontId="5" fillId="0" borderId="55" xfId="0" applyNumberFormat="1" applyFont="1" applyFill="1" applyBorder="1" applyAlignment="1">
      <alignment horizontal="right"/>
    </xf>
    <xf numFmtId="3" fontId="5" fillId="15" borderId="53" xfId="0" applyNumberFormat="1" applyFont="1" applyFill="1" applyBorder="1" applyAlignment="1">
      <alignment horizontal="right"/>
    </xf>
    <xf numFmtId="9" fontId="5" fillId="15" borderId="55" xfId="0" applyNumberFormat="1" applyFont="1" applyFill="1" applyBorder="1" applyAlignment="1">
      <alignment horizontal="right"/>
    </xf>
    <xf numFmtId="3" fontId="6" fillId="14" borderId="53" xfId="0" applyNumberFormat="1" applyFont="1" applyFill="1" applyBorder="1" applyAlignment="1">
      <alignment horizontal="center"/>
    </xf>
    <xf numFmtId="0" fontId="5" fillId="16" borderId="53" xfId="0" applyFont="1" applyFill="1" applyBorder="1" applyAlignment="1">
      <alignment horizontal="center" wrapText="1"/>
    </xf>
    <xf numFmtId="173" fontId="5" fillId="16" borderId="55" xfId="0" applyNumberFormat="1" applyFont="1" applyFill="1" applyBorder="1" applyAlignment="1">
      <alignment horizontal="center" wrapText="1"/>
    </xf>
    <xf numFmtId="173" fontId="5" fillId="12" borderId="79" xfId="0" applyNumberFormat="1" applyFont="1" applyFill="1" applyBorder="1" applyAlignment="1">
      <alignment horizontal="center" wrapText="1"/>
    </xf>
    <xf numFmtId="0" fontId="5" fillId="0" borderId="80" xfId="0" applyFont="1" applyBorder="1" applyAlignment="1">
      <alignment horizontal="right"/>
    </xf>
    <xf numFmtId="3" fontId="5" fillId="15" borderId="50" xfId="0" applyNumberFormat="1" applyFont="1" applyFill="1" applyBorder="1"/>
    <xf numFmtId="3" fontId="5" fillId="0" borderId="41" xfId="0" applyNumberFormat="1" applyFont="1" applyFill="1" applyBorder="1"/>
    <xf numFmtId="3" fontId="5" fillId="0" borderId="42" xfId="0" applyNumberFormat="1" applyFont="1" applyFill="1" applyBorder="1"/>
    <xf numFmtId="3" fontId="5" fillId="0" borderId="68" xfId="0" applyNumberFormat="1" applyFont="1" applyFill="1" applyBorder="1"/>
    <xf numFmtId="3" fontId="5" fillId="13" borderId="41" xfId="0" applyNumberFormat="1" applyFont="1" applyFill="1" applyBorder="1"/>
    <xf numFmtId="3" fontId="5" fillId="13" borderId="42" xfId="0" applyNumberFormat="1" applyFont="1" applyFill="1" applyBorder="1"/>
    <xf numFmtId="3" fontId="5" fillId="17" borderId="77" xfId="0" applyNumberFormat="1" applyFont="1" applyFill="1" applyBorder="1"/>
    <xf numFmtId="3" fontId="5" fillId="14" borderId="42" xfId="0" applyNumberFormat="1" applyFont="1" applyFill="1" applyBorder="1"/>
    <xf numFmtId="3" fontId="5" fillId="13" borderId="68" xfId="0" applyNumberFormat="1" applyFont="1" applyFill="1" applyBorder="1"/>
    <xf numFmtId="3" fontId="5" fillId="15" borderId="18" xfId="0" applyNumberFormat="1" applyFont="1" applyFill="1" applyBorder="1"/>
    <xf numFmtId="3" fontId="5" fillId="16" borderId="77" xfId="0" applyNumberFormat="1" applyFont="1" applyFill="1" applyBorder="1"/>
    <xf numFmtId="3" fontId="5" fillId="16" borderId="68" xfId="0" applyNumberFormat="1" applyFont="1" applyFill="1" applyBorder="1"/>
    <xf numFmtId="170" fontId="5" fillId="16" borderId="50" xfId="0" applyNumberFormat="1" applyFont="1" applyFill="1" applyBorder="1"/>
    <xf numFmtId="1" fontId="5" fillId="12" borderId="51" xfId="0" applyNumberFormat="1" applyFont="1" applyFill="1" applyBorder="1"/>
    <xf numFmtId="3" fontId="5" fillId="0" borderId="78" xfId="0" applyNumberFormat="1" applyFont="1" applyFill="1" applyBorder="1"/>
    <xf numFmtId="3" fontId="5" fillId="12" borderId="50" xfId="0" applyNumberFormat="1" applyFont="1" applyFill="1" applyBorder="1"/>
    <xf numFmtId="3" fontId="5" fillId="12" borderId="18" xfId="0" applyNumberFormat="1" applyFont="1" applyFill="1" applyBorder="1"/>
    <xf numFmtId="3" fontId="5" fillId="12" borderId="51" xfId="0" applyNumberFormat="1" applyFont="1" applyFill="1" applyBorder="1"/>
    <xf numFmtId="3" fontId="5" fillId="0" borderId="50" xfId="0" applyNumberFormat="1" applyFont="1" applyFill="1" applyBorder="1"/>
    <xf numFmtId="3" fontId="5" fillId="0" borderId="18" xfId="0" applyNumberFormat="1" applyFont="1" applyFill="1" applyBorder="1"/>
    <xf numFmtId="3" fontId="5" fillId="0" borderId="51" xfId="0" applyNumberFormat="1" applyFont="1" applyFill="1" applyBorder="1"/>
    <xf numFmtId="3" fontId="5" fillId="13" borderId="50" xfId="0" applyNumberFormat="1" applyFont="1" applyFill="1" applyBorder="1"/>
    <xf numFmtId="3" fontId="5" fillId="13" borderId="18" xfId="0" applyNumberFormat="1" applyFont="1" applyFill="1" applyBorder="1"/>
    <xf numFmtId="3" fontId="5" fillId="17" borderId="78" xfId="0" applyNumberFormat="1" applyFont="1" applyFill="1" applyBorder="1"/>
    <xf numFmtId="3" fontId="5" fillId="14" borderId="18" xfId="0" applyNumberFormat="1" applyFont="1" applyFill="1" applyBorder="1"/>
    <xf numFmtId="3" fontId="5" fillId="13" borderId="51" xfId="0" applyNumberFormat="1" applyFont="1" applyFill="1" applyBorder="1"/>
    <xf numFmtId="3" fontId="5" fillId="16" borderId="78" xfId="0" applyNumberFormat="1" applyFont="1" applyFill="1" applyBorder="1"/>
    <xf numFmtId="3" fontId="5" fillId="16" borderId="50" xfId="0" applyNumberFormat="1" applyFont="1" applyFill="1" applyBorder="1"/>
    <xf numFmtId="3" fontId="5" fillId="16" borderId="18" xfId="0" applyNumberFormat="1" applyFont="1" applyFill="1" applyBorder="1"/>
    <xf numFmtId="3" fontId="5" fillId="16" borderId="51" xfId="0" applyNumberFormat="1" applyFont="1" applyFill="1" applyBorder="1"/>
    <xf numFmtId="0" fontId="5" fillId="0" borderId="81" xfId="0" applyFont="1" applyBorder="1" applyAlignment="1">
      <alignment horizontal="right"/>
    </xf>
    <xf numFmtId="3" fontId="5" fillId="0" borderId="55" xfId="0" applyNumberFormat="1" applyFont="1" applyBorder="1"/>
    <xf numFmtId="3" fontId="5" fillId="15" borderId="53" xfId="0" applyNumberFormat="1" applyFont="1" applyFill="1" applyBorder="1"/>
    <xf numFmtId="3" fontId="5" fillId="0" borderId="79" xfId="0" applyNumberFormat="1" applyFont="1" applyFill="1" applyBorder="1"/>
    <xf numFmtId="3" fontId="5" fillId="12" borderId="53" xfId="0" applyNumberFormat="1" applyFont="1" applyFill="1" applyBorder="1"/>
    <xf numFmtId="3" fontId="5" fillId="12" borderId="55" xfId="0" applyNumberFormat="1" applyFont="1" applyFill="1" applyBorder="1"/>
    <xf numFmtId="3" fontId="5" fillId="12" borderId="63" xfId="0" applyNumberFormat="1" applyFont="1" applyFill="1" applyBorder="1"/>
    <xf numFmtId="3" fontId="5" fillId="0" borderId="53" xfId="0" applyNumberFormat="1" applyFont="1" applyFill="1" applyBorder="1"/>
    <xf numFmtId="3" fontId="5" fillId="0" borderId="55" xfId="0" applyNumberFormat="1" applyFont="1" applyFill="1" applyBorder="1"/>
    <xf numFmtId="3" fontId="5" fillId="0" borderId="63" xfId="0" applyNumberFormat="1" applyFont="1" applyFill="1" applyBorder="1"/>
    <xf numFmtId="3" fontId="5" fillId="13" borderId="53" xfId="0" applyNumberFormat="1" applyFont="1" applyFill="1" applyBorder="1"/>
    <xf numFmtId="3" fontId="5" fillId="13" borderId="55" xfId="0" applyNumberFormat="1" applyFont="1" applyFill="1" applyBorder="1"/>
    <xf numFmtId="3" fontId="5" fillId="17" borderId="79" xfId="0" applyNumberFormat="1" applyFont="1" applyFill="1" applyBorder="1"/>
    <xf numFmtId="3" fontId="5" fillId="14" borderId="55" xfId="0" applyNumberFormat="1" applyFont="1" applyFill="1" applyBorder="1"/>
    <xf numFmtId="3" fontId="5" fillId="13" borderId="63" xfId="0" applyNumberFormat="1" applyFont="1" applyFill="1" applyBorder="1"/>
    <xf numFmtId="3" fontId="5" fillId="15" borderId="55" xfId="0" applyNumberFormat="1" applyFont="1" applyFill="1" applyBorder="1"/>
    <xf numFmtId="3" fontId="5" fillId="16" borderId="79" xfId="0" applyNumberFormat="1" applyFont="1" applyFill="1" applyBorder="1"/>
    <xf numFmtId="3" fontId="5" fillId="16" borderId="53" xfId="0" applyNumberFormat="1" applyFont="1" applyFill="1" applyBorder="1"/>
    <xf numFmtId="3" fontId="5" fillId="16" borderId="55" xfId="0" applyNumberFormat="1" applyFont="1" applyFill="1" applyBorder="1"/>
    <xf numFmtId="3" fontId="5" fillId="16" borderId="63" xfId="0" applyNumberFormat="1" applyFont="1" applyFill="1" applyBorder="1"/>
    <xf numFmtId="170" fontId="5" fillId="16" borderId="53" xfId="0" applyNumberFormat="1" applyFont="1" applyFill="1" applyBorder="1"/>
    <xf numFmtId="1" fontId="5" fillId="12" borderId="63" xfId="0" applyNumberFormat="1" applyFont="1" applyFill="1" applyBorder="1"/>
    <xf numFmtId="3" fontId="5" fillId="0" borderId="79" xfId="0" applyNumberFormat="1" applyFont="1" applyBorder="1"/>
    <xf numFmtId="0" fontId="25" fillId="0" borderId="18" xfId="0" applyFont="1" applyBorder="1" applyAlignment="1">
      <alignment horizontal="left"/>
    </xf>
    <xf numFmtId="173" fontId="5" fillId="0" borderId="52" xfId="0" applyNumberFormat="1" applyFont="1" applyFill="1" applyBorder="1"/>
    <xf numFmtId="3" fontId="20" fillId="18" borderId="64" xfId="0" applyNumberFormat="1" applyFont="1" applyFill="1" applyBorder="1" applyAlignment="1">
      <alignment readingOrder="1"/>
    </xf>
    <xf numFmtId="9" fontId="6" fillId="18" borderId="48" xfId="0" applyNumberFormat="1" applyFont="1" applyFill="1" applyBorder="1" applyAlignment="1">
      <alignment horizontal="center"/>
    </xf>
    <xf numFmtId="166" fontId="8" fillId="19" borderId="8" xfId="0" applyNumberFormat="1" applyFont="1" applyFill="1" applyBorder="1"/>
    <xf numFmtId="0" fontId="10" fillId="0" borderId="18" xfId="0" applyFont="1" applyBorder="1"/>
    <xf numFmtId="0" fontId="12" fillId="0" borderId="18" xfId="0" applyFont="1" applyBorder="1" applyAlignment="1">
      <alignment horizontal="center" wrapText="1"/>
    </xf>
    <xf numFmtId="0" fontId="0" fillId="0" borderId="18" xfId="0" applyBorder="1"/>
    <xf numFmtId="0" fontId="11" fillId="0" borderId="32" xfId="0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/>
    </xf>
    <xf numFmtId="10" fontId="8" fillId="0" borderId="18" xfId="0" applyNumberFormat="1" applyFont="1" applyFill="1" applyBorder="1"/>
    <xf numFmtId="0" fontId="8" fillId="0" borderId="15" xfId="0" applyFont="1" applyFill="1" applyBorder="1"/>
    <xf numFmtId="0" fontId="0" fillId="0" borderId="18" xfId="0" applyFill="1" applyBorder="1"/>
    <xf numFmtId="0" fontId="8" fillId="0" borderId="14" xfId="0" applyFont="1" applyFill="1" applyBorder="1" applyAlignment="1">
      <alignment horizontal="right" vertical="center"/>
    </xf>
    <xf numFmtId="166" fontId="8" fillId="0" borderId="18" xfId="0" applyNumberFormat="1" applyFont="1" applyFill="1" applyBorder="1"/>
    <xf numFmtId="0" fontId="8" fillId="4" borderId="18" xfId="0" applyFont="1" applyFill="1" applyBorder="1"/>
    <xf numFmtId="166" fontId="8" fillId="19" borderId="15" xfId="0" applyNumberFormat="1" applyFont="1" applyFill="1" applyBorder="1"/>
    <xf numFmtId="170" fontId="5" fillId="0" borderId="60" xfId="0" applyNumberFormat="1" applyFont="1" applyFill="1" applyBorder="1"/>
    <xf numFmtId="170" fontId="6" fillId="0" borderId="59" xfId="0" applyNumberFormat="1" applyFont="1" applyFill="1" applyBorder="1"/>
    <xf numFmtId="9" fontId="5" fillId="0" borderId="55" xfId="0" applyNumberFormat="1" applyFont="1" applyFill="1" applyBorder="1"/>
    <xf numFmtId="165" fontId="8" fillId="19" borderId="7" xfId="0" applyNumberFormat="1" applyFont="1" applyFill="1" applyBorder="1"/>
    <xf numFmtId="0" fontId="0" fillId="0" borderId="0" xfId="0"/>
    <xf numFmtId="0" fontId="6" fillId="0" borderId="18" xfId="0" applyFont="1" applyFill="1" applyBorder="1" applyAlignment="1">
      <alignment horizontal="center"/>
    </xf>
    <xf numFmtId="173" fontId="6" fillId="0" borderId="18" xfId="0" applyNumberFormat="1" applyFont="1" applyFill="1" applyBorder="1" applyAlignment="1">
      <alignment horizontal="center"/>
    </xf>
    <xf numFmtId="173" fontId="6" fillId="0" borderId="18" xfId="0" applyNumberFormat="1" applyFont="1" applyFill="1" applyBorder="1"/>
    <xf numFmtId="0" fontId="20" fillId="0" borderId="18" xfId="0" applyFont="1" applyFill="1" applyBorder="1" applyAlignment="1">
      <alignment horizontal="left" readingOrder="1"/>
    </xf>
    <xf numFmtId="170" fontId="5" fillId="0" borderId="18" xfId="0" applyNumberFormat="1" applyFont="1" applyFill="1" applyBorder="1" applyAlignment="1">
      <alignment horizontal="center"/>
    </xf>
    <xf numFmtId="3" fontId="5" fillId="0" borderId="18" xfId="0" applyNumberFormat="1" applyFont="1" applyFill="1" applyBorder="1" applyAlignment="1">
      <alignment horizontal="center"/>
    </xf>
    <xf numFmtId="3" fontId="20" fillId="0" borderId="18" xfId="0" applyNumberFormat="1" applyFont="1" applyFill="1" applyBorder="1" applyAlignment="1">
      <alignment readingOrder="1"/>
    </xf>
    <xf numFmtId="9" fontId="6" fillId="0" borderId="18" xfId="0" applyNumberFormat="1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18" xfId="0" applyNumberFormat="1" applyFont="1" applyFill="1" applyBorder="1" applyAlignment="1"/>
    <xf numFmtId="9" fontId="5" fillId="0" borderId="18" xfId="0" applyNumberFormat="1" applyFont="1" applyFill="1" applyBorder="1" applyAlignment="1">
      <alignment horizontal="center"/>
    </xf>
    <xf numFmtId="170" fontId="5" fillId="0" borderId="18" xfId="0" applyNumberFormat="1" applyFont="1" applyFill="1" applyBorder="1"/>
    <xf numFmtId="0" fontId="6" fillId="0" borderId="18" xfId="0" applyFont="1" applyFill="1" applyBorder="1" applyAlignment="1"/>
    <xf numFmtId="170" fontId="5" fillId="0" borderId="18" xfId="0" applyNumberFormat="1" applyFont="1" applyFill="1" applyBorder="1" applyAlignment="1">
      <alignment horizontal="right"/>
    </xf>
    <xf numFmtId="0" fontId="6" fillId="0" borderId="18" xfId="0" applyFont="1" applyFill="1" applyBorder="1"/>
    <xf numFmtId="0" fontId="5" fillId="0" borderId="18" xfId="0" applyFont="1" applyFill="1" applyBorder="1"/>
    <xf numFmtId="173" fontId="5" fillId="0" borderId="53" xfId="0" applyNumberFormat="1" applyFont="1" applyBorder="1"/>
    <xf numFmtId="170" fontId="5" fillId="0" borderId="55" xfId="0" applyNumberFormat="1" applyFont="1" applyBorder="1"/>
    <xf numFmtId="9" fontId="6" fillId="0" borderId="66" xfId="0" applyNumberFormat="1" applyFont="1" applyFill="1" applyBorder="1"/>
    <xf numFmtId="178" fontId="5" fillId="0" borderId="38" xfId="0" applyNumberFormat="1" applyFont="1" applyBorder="1"/>
    <xf numFmtId="3" fontId="5" fillId="9" borderId="40" xfId="0" applyNumberFormat="1" applyFont="1" applyFill="1" applyBorder="1" applyAlignment="1">
      <alignment horizontal="left"/>
    </xf>
    <xf numFmtId="165" fontId="8" fillId="6" borderId="18" xfId="0" applyNumberFormat="1" applyFont="1" applyFill="1" applyBorder="1" applyAlignment="1">
      <alignment horizontal="center"/>
    </xf>
    <xf numFmtId="0" fontId="8" fillId="6" borderId="18" xfId="0" applyFont="1" applyFill="1" applyBorder="1"/>
    <xf numFmtId="166" fontId="8" fillId="6" borderId="18" xfId="0" applyNumberFormat="1" applyFont="1" applyFill="1" applyBorder="1"/>
    <xf numFmtId="167" fontId="8" fillId="6" borderId="18" xfId="0" applyNumberFormat="1" applyFont="1" applyFill="1" applyBorder="1"/>
    <xf numFmtId="0" fontId="8" fillId="6" borderId="49" xfId="0" applyFont="1" applyFill="1" applyBorder="1" applyAlignment="1">
      <alignment horizontal="center"/>
    </xf>
    <xf numFmtId="10" fontId="8" fillId="6" borderId="82" xfId="0" applyNumberFormat="1" applyFont="1" applyFill="1" applyBorder="1"/>
    <xf numFmtId="166" fontId="8" fillId="6" borderId="82" xfId="0" applyNumberFormat="1" applyFont="1" applyFill="1" applyBorder="1"/>
    <xf numFmtId="167" fontId="8" fillId="6" borderId="47" xfId="0" applyNumberFormat="1" applyFont="1" applyFill="1" applyBorder="1"/>
    <xf numFmtId="170" fontId="5" fillId="0" borderId="18" xfId="0" applyNumberFormat="1" applyFont="1" applyBorder="1" applyAlignment="1">
      <alignment horizontal="right"/>
    </xf>
    <xf numFmtId="0" fontId="0" fillId="0" borderId="50" xfId="0" applyBorder="1"/>
    <xf numFmtId="0" fontId="0" fillId="0" borderId="53" xfId="0" applyBorder="1" applyAlignment="1">
      <alignment horizontal="center"/>
    </xf>
    <xf numFmtId="2" fontId="0" fillId="9" borderId="83" xfId="0" applyNumberFormat="1" applyFill="1" applyBorder="1" applyAlignment="1">
      <alignment horizontal="center"/>
    </xf>
    <xf numFmtId="2" fontId="0" fillId="9" borderId="55" xfId="0" applyNumberFormat="1" applyFill="1" applyBorder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170" fontId="7" fillId="0" borderId="0" xfId="0" applyNumberFormat="1" applyFont="1" applyAlignment="1">
      <alignment horizontal="left"/>
    </xf>
    <xf numFmtId="170" fontId="7" fillId="0" borderId="0" xfId="0" applyNumberFormat="1" applyFont="1" applyAlignment="1">
      <alignment horizontal="right"/>
    </xf>
    <xf numFmtId="170" fontId="0" fillId="0" borderId="0" xfId="0" applyNumberFormat="1"/>
    <xf numFmtId="0" fontId="7" fillId="0" borderId="18" xfId="0" applyFont="1" applyBorder="1" applyAlignment="1">
      <alignment horizontal="left"/>
    </xf>
    <xf numFmtId="0" fontId="0" fillId="0" borderId="18" xfId="0" applyBorder="1"/>
    <xf numFmtId="0" fontId="0" fillId="0" borderId="0" xfId="0"/>
    <xf numFmtId="164" fontId="6" fillId="0" borderId="36" xfId="0" applyNumberFormat="1" applyFont="1" applyBorder="1"/>
    <xf numFmtId="164" fontId="18" fillId="0" borderId="36" xfId="0" applyNumberFormat="1" applyFont="1" applyBorder="1"/>
    <xf numFmtId="165" fontId="5" fillId="0" borderId="18" xfId="0" applyNumberFormat="1" applyFont="1" applyBorder="1" applyAlignment="1">
      <alignment horizontal="right"/>
    </xf>
    <xf numFmtId="164" fontId="5" fillId="0" borderId="18" xfId="0" applyNumberFormat="1" applyFont="1" applyBorder="1"/>
    <xf numFmtId="164" fontId="0" fillId="0" borderId="18" xfId="0" applyNumberFormat="1" applyBorder="1"/>
    <xf numFmtId="164" fontId="5" fillId="2" borderId="18" xfId="0" applyNumberFormat="1" applyFont="1" applyFill="1" applyBorder="1"/>
    <xf numFmtId="164" fontId="6" fillId="0" borderId="27" xfId="0" applyNumberFormat="1" applyFont="1" applyBorder="1"/>
    <xf numFmtId="164" fontId="0" fillId="0" borderId="0" xfId="0" applyNumberFormat="1"/>
    <xf numFmtId="0" fontId="6" fillId="0" borderId="36" xfId="0" applyFont="1" applyBorder="1"/>
    <xf numFmtId="164" fontId="6" fillId="0" borderId="84" xfId="0" applyNumberFormat="1" applyFont="1" applyBorder="1"/>
    <xf numFmtId="170" fontId="5" fillId="12" borderId="53" xfId="0" applyNumberFormat="1" applyFont="1" applyFill="1" applyBorder="1" applyAlignment="1">
      <alignment horizontal="center"/>
    </xf>
    <xf numFmtId="0" fontId="15" fillId="20" borderId="77" xfId="0" applyFont="1" applyFill="1" applyBorder="1" applyAlignment="1">
      <alignment wrapText="1"/>
    </xf>
    <xf numFmtId="0" fontId="5" fillId="20" borderId="77" xfId="0" applyFont="1" applyFill="1" applyBorder="1" applyAlignment="1">
      <alignment horizontal="center" wrapText="1"/>
    </xf>
    <xf numFmtId="170" fontId="5" fillId="20" borderId="79" xfId="0" applyNumberFormat="1" applyFont="1" applyFill="1" applyBorder="1" applyAlignment="1">
      <alignment horizontal="center"/>
    </xf>
    <xf numFmtId="3" fontId="5" fillId="20" borderId="78" xfId="0" applyNumberFormat="1" applyFont="1" applyFill="1" applyBorder="1"/>
    <xf numFmtId="3" fontId="5" fillId="20" borderId="79" xfId="0" applyNumberFormat="1" applyFont="1" applyFill="1" applyBorder="1"/>
    <xf numFmtId="0" fontId="5" fillId="0" borderId="50" xfId="0" applyFont="1" applyBorder="1" applyAlignment="1">
      <alignment horizontal="right"/>
    </xf>
    <xf numFmtId="0" fontId="5" fillId="16" borderId="39" xfId="0" applyFont="1" applyFill="1" applyBorder="1" applyAlignment="1">
      <alignment horizontal="center" wrapText="1"/>
    </xf>
    <xf numFmtId="0" fontId="5" fillId="16" borderId="38" xfId="0" applyFont="1" applyFill="1" applyBorder="1" applyAlignment="1">
      <alignment horizontal="center" wrapText="1"/>
    </xf>
    <xf numFmtId="0" fontId="5" fillId="16" borderId="40" xfId="0" applyFont="1" applyFill="1" applyBorder="1" applyAlignment="1">
      <alignment horizontal="center" wrapText="1"/>
    </xf>
    <xf numFmtId="0" fontId="5" fillId="16" borderId="55" xfId="0" applyFont="1" applyFill="1" applyBorder="1" applyAlignment="1">
      <alignment horizontal="center" wrapText="1"/>
    </xf>
    <xf numFmtId="0" fontId="5" fillId="0" borderId="53" xfId="0" applyFont="1" applyFill="1" applyBorder="1" applyAlignment="1">
      <alignment horizontal="center"/>
    </xf>
    <xf numFmtId="9" fontId="5" fillId="13" borderId="55" xfId="0" applyNumberFormat="1" applyFont="1" applyFill="1" applyBorder="1" applyAlignment="1">
      <alignment horizontal="right"/>
    </xf>
    <xf numFmtId="9" fontId="5" fillId="13" borderId="63" xfId="0" applyNumberFormat="1" applyFont="1" applyFill="1" applyBorder="1" applyAlignment="1">
      <alignment horizontal="right"/>
    </xf>
    <xf numFmtId="9" fontId="5" fillId="17" borderId="53" xfId="0" applyNumberFormat="1" applyFont="1" applyFill="1" applyBorder="1" applyAlignment="1">
      <alignment horizontal="right"/>
    </xf>
    <xf numFmtId="170" fontId="5" fillId="13" borderId="53" xfId="0" applyNumberFormat="1" applyFont="1" applyFill="1" applyBorder="1" applyAlignment="1">
      <alignment horizontal="right"/>
    </xf>
    <xf numFmtId="9" fontId="5" fillId="17" borderId="63" xfId="0" applyNumberFormat="1" applyFont="1" applyFill="1" applyBorder="1" applyAlignment="1">
      <alignment horizontal="right"/>
    </xf>
    <xf numFmtId="9" fontId="5" fillId="14" borderId="79" xfId="0" applyNumberFormat="1" applyFont="1" applyFill="1" applyBorder="1" applyAlignment="1">
      <alignment horizontal="right"/>
    </xf>
    <xf numFmtId="9" fontId="5" fillId="16" borderId="53" xfId="0" applyNumberFormat="1" applyFont="1" applyFill="1" applyBorder="1" applyAlignment="1">
      <alignment horizontal="center"/>
    </xf>
    <xf numFmtId="9" fontId="5" fillId="16" borderId="55" xfId="0" applyNumberFormat="1" applyFont="1" applyFill="1" applyBorder="1" applyAlignment="1">
      <alignment horizontal="center" wrapText="1"/>
    </xf>
    <xf numFmtId="170" fontId="5" fillId="16" borderId="53" xfId="0" applyNumberFormat="1" applyFont="1" applyFill="1" applyBorder="1" applyAlignment="1">
      <alignment horizontal="center" wrapText="1"/>
    </xf>
    <xf numFmtId="0" fontId="5" fillId="16" borderId="63" xfId="0" applyFont="1" applyFill="1" applyBorder="1" applyAlignment="1">
      <alignment horizontal="center" wrapText="1"/>
    </xf>
    <xf numFmtId="3" fontId="5" fillId="16" borderId="79" xfId="0" applyNumberFormat="1" applyFont="1" applyFill="1" applyBorder="1" applyAlignment="1">
      <alignment horizontal="center"/>
    </xf>
    <xf numFmtId="0" fontId="5" fillId="0" borderId="38" xfId="0" applyFont="1" applyBorder="1" applyAlignment="1">
      <alignment horizontal="right"/>
    </xf>
    <xf numFmtId="0" fontId="5" fillId="15" borderId="38" xfId="0" applyFont="1" applyFill="1" applyBorder="1" applyAlignment="1">
      <alignment horizontal="center"/>
    </xf>
    <xf numFmtId="0" fontId="5" fillId="12" borderId="38" xfId="0" applyFont="1" applyFill="1" applyBorder="1" applyAlignment="1">
      <alignment horizontal="center"/>
    </xf>
    <xf numFmtId="0" fontId="5" fillId="12" borderId="39" xfId="0" applyFont="1" applyFill="1" applyBorder="1" applyAlignment="1">
      <alignment horizontal="center"/>
    </xf>
    <xf numFmtId="170" fontId="5" fillId="12" borderId="39" xfId="0" applyNumberFormat="1" applyFont="1" applyFill="1" applyBorder="1" applyAlignment="1">
      <alignment horizontal="center"/>
    </xf>
    <xf numFmtId="170" fontId="5" fillId="0" borderId="38" xfId="0" applyNumberFormat="1" applyFont="1" applyFill="1" applyBorder="1" applyAlignment="1">
      <alignment horizontal="right"/>
    </xf>
    <xf numFmtId="170" fontId="5" fillId="0" borderId="39" xfId="0" applyNumberFormat="1" applyFont="1" applyFill="1" applyBorder="1" applyAlignment="1">
      <alignment horizontal="right"/>
    </xf>
    <xf numFmtId="9" fontId="5" fillId="0" borderId="40" xfId="0" applyNumberFormat="1" applyFont="1" applyFill="1" applyBorder="1" applyAlignment="1">
      <alignment horizontal="right"/>
    </xf>
    <xf numFmtId="9" fontId="5" fillId="13" borderId="39" xfId="0" applyNumberFormat="1" applyFont="1" applyFill="1" applyBorder="1" applyAlignment="1">
      <alignment horizontal="right"/>
    </xf>
    <xf numFmtId="9" fontId="5" fillId="17" borderId="38" xfId="0" applyNumberFormat="1" applyFont="1" applyFill="1" applyBorder="1" applyAlignment="1">
      <alignment horizontal="right"/>
    </xf>
    <xf numFmtId="9" fontId="5" fillId="0" borderId="39" xfId="0" applyNumberFormat="1" applyFont="1" applyFill="1" applyBorder="1" applyAlignment="1">
      <alignment horizontal="right"/>
    </xf>
    <xf numFmtId="170" fontId="5" fillId="13" borderId="38" xfId="0" applyNumberFormat="1" applyFont="1" applyFill="1" applyBorder="1" applyAlignment="1">
      <alignment horizontal="right"/>
    </xf>
    <xf numFmtId="9" fontId="5" fillId="17" borderId="40" xfId="0" applyNumberFormat="1" applyFont="1" applyFill="1" applyBorder="1" applyAlignment="1">
      <alignment horizontal="right"/>
    </xf>
    <xf numFmtId="9" fontId="5" fillId="14" borderId="39" xfId="0" applyNumberFormat="1" applyFont="1" applyFill="1" applyBorder="1" applyAlignment="1">
      <alignment horizontal="right"/>
    </xf>
    <xf numFmtId="9" fontId="5" fillId="13" borderId="40" xfId="0" applyNumberFormat="1" applyFont="1" applyFill="1" applyBorder="1" applyAlignment="1">
      <alignment horizontal="right"/>
    </xf>
    <xf numFmtId="9" fontId="5" fillId="15" borderId="39" xfId="0" applyNumberFormat="1" applyFont="1" applyFill="1" applyBorder="1" applyAlignment="1">
      <alignment horizontal="right"/>
    </xf>
    <xf numFmtId="3" fontId="6" fillId="14" borderId="38" xfId="0" applyNumberFormat="1" applyFont="1" applyFill="1" applyBorder="1" applyAlignment="1">
      <alignment horizontal="center"/>
    </xf>
    <xf numFmtId="9" fontId="5" fillId="16" borderId="38" xfId="0" applyNumberFormat="1" applyFont="1" applyFill="1" applyBorder="1" applyAlignment="1">
      <alignment horizontal="center"/>
    </xf>
    <xf numFmtId="9" fontId="5" fillId="16" borderId="39" xfId="0" applyNumberFormat="1" applyFont="1" applyFill="1" applyBorder="1" applyAlignment="1">
      <alignment horizontal="center" wrapText="1"/>
    </xf>
    <xf numFmtId="170" fontId="5" fillId="16" borderId="39" xfId="0" applyNumberFormat="1" applyFont="1" applyFill="1" applyBorder="1" applyAlignment="1">
      <alignment horizontal="center" wrapText="1"/>
    </xf>
    <xf numFmtId="173" fontId="5" fillId="16" borderId="39" xfId="0" applyNumberFormat="1" applyFont="1" applyFill="1" applyBorder="1" applyAlignment="1">
      <alignment horizontal="center" wrapText="1"/>
    </xf>
    <xf numFmtId="173" fontId="5" fillId="12" borderId="40" xfId="0" applyNumberFormat="1" applyFont="1" applyFill="1" applyBorder="1" applyAlignment="1">
      <alignment horizontal="center" wrapText="1"/>
    </xf>
    <xf numFmtId="3" fontId="5" fillId="0" borderId="60" xfId="0" applyNumberFormat="1" applyFont="1" applyBorder="1" applyAlignment="1">
      <alignment horizontal="right"/>
    </xf>
    <xf numFmtId="0" fontId="20" fillId="0" borderId="38" xfId="0" applyFont="1" applyBorder="1" applyAlignment="1">
      <alignment readingOrder="1"/>
    </xf>
    <xf numFmtId="0" fontId="6" fillId="0" borderId="39" xfId="0" applyFont="1" applyBorder="1"/>
    <xf numFmtId="173" fontId="6" fillId="9" borderId="66" xfId="0" applyNumberFormat="1" applyFont="1" applyFill="1" applyBorder="1"/>
    <xf numFmtId="3" fontId="5" fillId="16" borderId="60" xfId="0" applyNumberFormat="1" applyFont="1" applyFill="1" applyBorder="1" applyAlignment="1">
      <alignment horizontal="right"/>
    </xf>
    <xf numFmtId="170" fontId="5" fillId="16" borderId="41" xfId="0" applyNumberFormat="1" applyFont="1" applyFill="1" applyBorder="1"/>
    <xf numFmtId="1" fontId="5" fillId="12" borderId="68" xfId="0" applyNumberFormat="1" applyFont="1" applyFill="1" applyBorder="1"/>
    <xf numFmtId="3" fontId="5" fillId="20" borderId="60" xfId="0" applyNumberFormat="1" applyFont="1" applyFill="1" applyBorder="1"/>
    <xf numFmtId="0" fontId="0" fillId="12" borderId="40" xfId="0" applyFill="1" applyBorder="1"/>
    <xf numFmtId="170" fontId="5" fillId="12" borderId="40" xfId="0" applyNumberFormat="1" applyFont="1" applyFill="1" applyBorder="1" applyAlignment="1">
      <alignment horizontal="center"/>
    </xf>
    <xf numFmtId="9" fontId="5" fillId="13" borderId="53" xfId="0" applyNumberFormat="1" applyFont="1" applyFill="1" applyBorder="1" applyAlignment="1">
      <alignment horizontal="right"/>
    </xf>
    <xf numFmtId="170" fontId="5" fillId="13" borderId="41" xfId="0" applyNumberFormat="1" applyFont="1" applyFill="1" applyBorder="1" applyAlignment="1">
      <alignment horizontal="right"/>
    </xf>
    <xf numFmtId="9" fontId="5" fillId="13" borderId="42" xfId="0" applyNumberFormat="1" applyFont="1" applyFill="1" applyBorder="1" applyAlignment="1">
      <alignment horizontal="right"/>
    </xf>
    <xf numFmtId="9" fontId="5" fillId="13" borderId="68" xfId="0" applyNumberFormat="1" applyFont="1" applyFill="1" applyBorder="1" applyAlignment="1">
      <alignment horizontal="right"/>
    </xf>
    <xf numFmtId="0" fontId="0" fillId="0" borderId="41" xfId="0" applyBorder="1"/>
    <xf numFmtId="0" fontId="6" fillId="0" borderId="42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164" fontId="5" fillId="0" borderId="51" xfId="0" applyNumberFormat="1" applyFont="1" applyBorder="1"/>
    <xf numFmtId="164" fontId="5" fillId="0" borderId="27" xfId="0" applyNumberFormat="1" applyFont="1" applyBorder="1"/>
    <xf numFmtId="164" fontId="5" fillId="0" borderId="85" xfId="0" applyNumberFormat="1" applyFont="1" applyBorder="1"/>
    <xf numFmtId="164" fontId="5" fillId="0" borderId="86" xfId="0" applyNumberFormat="1" applyFont="1" applyBorder="1"/>
    <xf numFmtId="164" fontId="5" fillId="0" borderId="87" xfId="0" applyNumberFormat="1" applyFont="1" applyBorder="1"/>
    <xf numFmtId="0" fontId="6" fillId="0" borderId="41" xfId="0" applyFont="1" applyBorder="1" applyAlignment="1">
      <alignment horizontal="center"/>
    </xf>
    <xf numFmtId="164" fontId="5" fillId="0" borderId="50" xfId="0" applyNumberFormat="1" applyFont="1" applyBorder="1"/>
    <xf numFmtId="164" fontId="5" fillId="0" borderId="88" xfId="0" applyNumberFormat="1" applyFont="1" applyBorder="1"/>
    <xf numFmtId="164" fontId="5" fillId="0" borderId="89" xfId="0" applyNumberFormat="1" applyFont="1" applyBorder="1"/>
    <xf numFmtId="164" fontId="5" fillId="0" borderId="36" xfId="0" applyNumberFormat="1" applyFont="1" applyBorder="1"/>
    <xf numFmtId="164" fontId="5" fillId="0" borderId="72" xfId="0" applyNumberFormat="1" applyFont="1" applyBorder="1"/>
    <xf numFmtId="164" fontId="5" fillId="0" borderId="73" xfId="0" applyNumberFormat="1" applyFont="1" applyBorder="1"/>
    <xf numFmtId="0" fontId="14" fillId="2" borderId="18" xfId="0" applyFont="1" applyFill="1" applyBorder="1" applyAlignment="1"/>
    <xf numFmtId="0" fontId="5" fillId="12" borderId="42" xfId="0" applyFont="1" applyFill="1" applyBorder="1" applyAlignment="1">
      <alignment horizontal="center" wrapText="1"/>
    </xf>
    <xf numFmtId="0" fontId="5" fillId="12" borderId="55" xfId="0" applyFont="1" applyFill="1" applyBorder="1" applyAlignment="1">
      <alignment horizontal="center"/>
    </xf>
    <xf numFmtId="3" fontId="5" fillId="15" borderId="51" xfId="0" applyNumberFormat="1" applyFont="1" applyFill="1" applyBorder="1" applyAlignment="1">
      <alignment horizontal="right" wrapText="1"/>
    </xf>
    <xf numFmtId="3" fontId="5" fillId="15" borderId="63" xfId="0" applyNumberFormat="1" applyFont="1" applyFill="1" applyBorder="1" applyAlignment="1">
      <alignment horizontal="right"/>
    </xf>
    <xf numFmtId="3" fontId="5" fillId="15" borderId="38" xfId="0" applyNumberFormat="1" applyFont="1" applyFill="1" applyBorder="1" applyAlignment="1">
      <alignment horizontal="right"/>
    </xf>
    <xf numFmtId="3" fontId="5" fillId="15" borderId="40" xfId="0" applyNumberFormat="1" applyFont="1" applyFill="1" applyBorder="1" applyAlignment="1">
      <alignment horizontal="right"/>
    </xf>
    <xf numFmtId="3" fontId="5" fillId="15" borderId="51" xfId="0" applyNumberFormat="1" applyFont="1" applyFill="1" applyBorder="1"/>
    <xf numFmtId="3" fontId="5" fillId="15" borderId="63" xfId="0" applyNumberFormat="1" applyFont="1" applyFill="1" applyBorder="1"/>
    <xf numFmtId="0" fontId="5" fillId="12" borderId="79" xfId="0" applyFont="1" applyFill="1" applyBorder="1" applyAlignment="1">
      <alignment horizontal="center"/>
    </xf>
    <xf numFmtId="0" fontId="5" fillId="12" borderId="40" xfId="0" applyFont="1" applyFill="1" applyBorder="1" applyAlignment="1">
      <alignment horizontal="center"/>
    </xf>
    <xf numFmtId="0" fontId="6" fillId="21" borderId="40" xfId="0" applyFont="1" applyFill="1" applyBorder="1" applyAlignment="1">
      <alignment horizontal="center"/>
    </xf>
    <xf numFmtId="3" fontId="5" fillId="21" borderId="77" xfId="0" applyNumberFormat="1" applyFont="1" applyFill="1" applyBorder="1" applyAlignment="1">
      <alignment horizontal="center" wrapText="1"/>
    </xf>
    <xf numFmtId="173" fontId="5" fillId="21" borderId="79" xfId="0" applyNumberFormat="1" applyFont="1" applyFill="1" applyBorder="1" applyAlignment="1">
      <alignment horizontal="center"/>
    </xf>
    <xf numFmtId="173" fontId="5" fillId="21" borderId="38" xfId="0" applyNumberFormat="1" applyFont="1" applyFill="1" applyBorder="1" applyAlignment="1">
      <alignment horizontal="center"/>
    </xf>
    <xf numFmtId="9" fontId="5" fillId="14" borderId="53" xfId="0" applyNumberFormat="1" applyFont="1" applyFill="1" applyBorder="1" applyAlignment="1">
      <alignment horizontal="right"/>
    </xf>
    <xf numFmtId="3" fontId="5" fillId="14" borderId="78" xfId="0" applyNumberFormat="1" applyFont="1" applyFill="1" applyBorder="1" applyAlignment="1">
      <alignment horizontal="right" wrapText="1"/>
    </xf>
    <xf numFmtId="3" fontId="5" fillId="14" borderId="50" xfId="0" applyNumberFormat="1" applyFont="1" applyFill="1" applyBorder="1" applyAlignment="1">
      <alignment horizontal="right" wrapText="1"/>
    </xf>
    <xf numFmtId="0" fontId="6" fillId="13" borderId="39" xfId="0" applyFont="1" applyFill="1" applyBorder="1" applyAlignment="1">
      <alignment horizontal="center"/>
    </xf>
    <xf numFmtId="0" fontId="6" fillId="14" borderId="38" xfId="0" applyFont="1" applyFill="1" applyBorder="1" applyAlignment="1">
      <alignment horizontal="left"/>
    </xf>
    <xf numFmtId="0" fontId="5" fillId="14" borderId="39" xfId="0" applyFont="1" applyFill="1" applyBorder="1" applyAlignment="1">
      <alignment horizontal="center"/>
    </xf>
    <xf numFmtId="0" fontId="5" fillId="14" borderId="40" xfId="0" applyFont="1" applyFill="1" applyBorder="1" applyAlignment="1">
      <alignment horizontal="center"/>
    </xf>
    <xf numFmtId="3" fontId="5" fillId="21" borderId="77" xfId="0" applyNumberFormat="1" applyFont="1" applyFill="1" applyBorder="1"/>
    <xf numFmtId="3" fontId="5" fillId="21" borderId="78" xfId="0" applyNumberFormat="1" applyFont="1" applyFill="1" applyBorder="1"/>
    <xf numFmtId="3" fontId="5" fillId="21" borderId="79" xfId="0" applyNumberFormat="1" applyFont="1" applyFill="1" applyBorder="1"/>
    <xf numFmtId="3" fontId="5" fillId="14" borderId="41" xfId="0" applyNumberFormat="1" applyFont="1" applyFill="1" applyBorder="1"/>
    <xf numFmtId="3" fontId="6" fillId="14" borderId="77" xfId="0" applyNumberFormat="1" applyFont="1" applyFill="1" applyBorder="1"/>
    <xf numFmtId="3" fontId="5" fillId="14" borderId="50" xfId="0" applyNumberFormat="1" applyFont="1" applyFill="1" applyBorder="1"/>
    <xf numFmtId="3" fontId="6" fillId="14" borderId="78" xfId="0" applyNumberFormat="1" applyFont="1" applyFill="1" applyBorder="1"/>
    <xf numFmtId="3" fontId="5" fillId="14" borderId="53" xfId="0" applyNumberFormat="1" applyFont="1" applyFill="1" applyBorder="1"/>
    <xf numFmtId="3" fontId="6" fillId="14" borderId="79" xfId="0" applyNumberFormat="1" applyFont="1" applyFill="1" applyBorder="1"/>
    <xf numFmtId="0" fontId="6" fillId="16" borderId="60" xfId="0" applyFont="1" applyFill="1" applyBorder="1" applyAlignment="1"/>
    <xf numFmtId="0" fontId="0" fillId="0" borderId="0" xfId="0"/>
    <xf numFmtId="0" fontId="8" fillId="6" borderId="14" xfId="0" applyFont="1" applyFill="1" applyBorder="1"/>
    <xf numFmtId="171" fontId="8" fillId="6" borderId="18" xfId="0" applyNumberFormat="1" applyFont="1" applyFill="1" applyBorder="1"/>
    <xf numFmtId="171" fontId="8" fillId="6" borderId="15" xfId="0" applyNumberFormat="1" applyFont="1" applyFill="1" applyBorder="1"/>
    <xf numFmtId="0" fontId="8" fillId="6" borderId="29" xfId="0" applyFont="1" applyFill="1" applyBorder="1"/>
    <xf numFmtId="171" fontId="8" fillId="6" borderId="30" xfId="0" applyNumberFormat="1" applyFont="1" applyFill="1" applyBorder="1"/>
    <xf numFmtId="171" fontId="8" fillId="6" borderId="31" xfId="0" applyNumberFormat="1" applyFont="1" applyFill="1" applyBorder="1"/>
    <xf numFmtId="0" fontId="8" fillId="6" borderId="35" xfId="0" applyFont="1" applyFill="1" applyBorder="1"/>
    <xf numFmtId="171" fontId="8" fillId="6" borderId="36" xfId="0" applyNumberFormat="1" applyFont="1" applyFill="1" applyBorder="1"/>
    <xf numFmtId="171" fontId="8" fillId="6" borderId="37" xfId="0" applyNumberFormat="1" applyFont="1" applyFill="1" applyBorder="1"/>
    <xf numFmtId="164" fontId="6" fillId="0" borderId="18" xfId="0" applyNumberFormat="1" applyFont="1" applyBorder="1"/>
    <xf numFmtId="173" fontId="20" fillId="0" borderId="18" xfId="0" applyNumberFormat="1" applyFont="1" applyFill="1" applyBorder="1" applyAlignment="1">
      <alignment horizontal="left" readingOrder="1"/>
    </xf>
    <xf numFmtId="3" fontId="6" fillId="0" borderId="18" xfId="0" applyNumberFormat="1" applyFont="1" applyFill="1" applyBorder="1" applyAlignment="1">
      <alignment horizontal="center"/>
    </xf>
    <xf numFmtId="3" fontId="20" fillId="0" borderId="18" xfId="0" applyNumberFormat="1" applyFont="1" applyFill="1" applyBorder="1" applyAlignment="1">
      <alignment horizontal="left" readingOrder="1"/>
    </xf>
    <xf numFmtId="0" fontId="8" fillId="4" borderId="18" xfId="0" applyFont="1" applyFill="1" applyBorder="1" applyAlignment="1">
      <alignment wrapText="1"/>
    </xf>
    <xf numFmtId="165" fontId="8" fillId="4" borderId="18" xfId="0" applyNumberFormat="1" applyFont="1" applyFill="1" applyBorder="1"/>
    <xf numFmtId="2" fontId="0" fillId="0" borderId="55" xfId="0" applyNumberFormat="1" applyBorder="1"/>
    <xf numFmtId="0" fontId="6" fillId="2" borderId="18" xfId="0" applyFont="1" applyFill="1" applyBorder="1"/>
    <xf numFmtId="3" fontId="15" fillId="0" borderId="18" xfId="0" applyNumberFormat="1" applyFont="1" applyBorder="1"/>
    <xf numFmtId="164" fontId="15" fillId="0" borderId="18" xfId="0" applyNumberFormat="1" applyFont="1" applyBorder="1"/>
    <xf numFmtId="165" fontId="19" fillId="0" borderId="18" xfId="0" applyNumberFormat="1" applyFont="1" applyBorder="1" applyAlignment="1">
      <alignment horizontal="right"/>
    </xf>
    <xf numFmtId="164" fontId="19" fillId="0" borderId="18" xfId="0" applyNumberFormat="1" applyFont="1" applyBorder="1"/>
    <xf numFmtId="164" fontId="19" fillId="2" borderId="18" xfId="0" applyNumberFormat="1" applyFont="1" applyFill="1" applyBorder="1"/>
    <xf numFmtId="165" fontId="26" fillId="0" borderId="18" xfId="0" applyNumberFormat="1" applyFont="1" applyBorder="1" applyAlignment="1">
      <alignment horizontal="right"/>
    </xf>
    <xf numFmtId="164" fontId="26" fillId="0" borderId="18" xfId="0" applyNumberFormat="1" applyFont="1" applyBorder="1"/>
    <xf numFmtId="164" fontId="26" fillId="2" borderId="18" xfId="0" applyNumberFormat="1" applyFont="1" applyFill="1" applyBorder="1"/>
    <xf numFmtId="164" fontId="26" fillId="0" borderId="36" xfId="0" applyNumberFormat="1" applyFont="1" applyBorder="1"/>
    <xf numFmtId="170" fontId="5" fillId="0" borderId="42" xfId="0" applyNumberFormat="1" applyFont="1" applyFill="1" applyBorder="1" applyAlignment="1">
      <alignment horizontal="right"/>
    </xf>
    <xf numFmtId="170" fontId="5" fillId="0" borderId="41" xfId="0" applyNumberFormat="1" applyFont="1" applyFill="1" applyBorder="1" applyAlignment="1">
      <alignment horizontal="right"/>
    </xf>
    <xf numFmtId="9" fontId="5" fillId="0" borderId="68" xfId="0" applyNumberFormat="1" applyFont="1" applyFill="1" applyBorder="1" applyAlignment="1">
      <alignment horizontal="right"/>
    </xf>
    <xf numFmtId="2" fontId="6" fillId="16" borderId="38" xfId="0" applyNumberFormat="1" applyFont="1" applyFill="1" applyBorder="1" applyAlignment="1"/>
    <xf numFmtId="2" fontId="5" fillId="17" borderId="18" xfId="0" applyNumberFormat="1" applyFont="1" applyFill="1" applyBorder="1" applyAlignment="1">
      <alignment horizontal="center" wrapText="1"/>
    </xf>
    <xf numFmtId="2" fontId="5" fillId="17" borderId="55" xfId="0" applyNumberFormat="1" applyFont="1" applyFill="1" applyBorder="1" applyAlignment="1">
      <alignment horizontal="center"/>
    </xf>
    <xf numFmtId="2" fontId="5" fillId="17" borderId="42" xfId="0" applyNumberFormat="1" applyFont="1" applyFill="1" applyBorder="1" applyAlignment="1">
      <alignment horizontal="center"/>
    </xf>
    <xf numFmtId="0" fontId="27" fillId="22" borderId="92" xfId="0" applyFont="1" applyFill="1" applyBorder="1" applyAlignment="1">
      <alignment vertical="top" wrapText="1"/>
    </xf>
    <xf numFmtId="0" fontId="27" fillId="22" borderId="98" xfId="0" applyFont="1" applyFill="1" applyBorder="1" applyAlignment="1">
      <alignment horizontal="center" vertical="top" wrapText="1"/>
    </xf>
    <xf numFmtId="0" fontId="27" fillId="22" borderId="93" xfId="0" applyFont="1" applyFill="1" applyBorder="1" applyAlignment="1">
      <alignment horizontal="center" vertical="top" wrapText="1"/>
    </xf>
    <xf numFmtId="0" fontId="28" fillId="0" borderId="99" xfId="0" applyFont="1" applyBorder="1" applyAlignment="1">
      <alignment vertical="top" wrapText="1"/>
    </xf>
    <xf numFmtId="0" fontId="29" fillId="0" borderId="100" xfId="0" applyFont="1" applyBorder="1" applyAlignment="1">
      <alignment horizontal="center" vertical="top" wrapText="1"/>
    </xf>
    <xf numFmtId="0" fontId="29" fillId="0" borderId="98" xfId="0" applyFont="1" applyBorder="1" applyAlignment="1">
      <alignment horizontal="center" vertical="top" wrapText="1"/>
    </xf>
    <xf numFmtId="0" fontId="29" fillId="0" borderId="95" xfId="0" applyFont="1" applyBorder="1" applyAlignment="1">
      <alignment horizontal="center" vertical="top" wrapText="1"/>
    </xf>
    <xf numFmtId="0" fontId="28" fillId="0" borderId="101" xfId="0" applyFont="1" applyBorder="1" applyAlignment="1">
      <alignment vertical="top" wrapText="1"/>
    </xf>
    <xf numFmtId="6" fontId="29" fillId="0" borderId="18" xfId="0" applyNumberFormat="1" applyFont="1" applyBorder="1" applyAlignment="1">
      <alignment horizontal="center" vertical="top" wrapText="1"/>
    </xf>
    <xf numFmtId="6" fontId="29" fillId="0" borderId="98" xfId="0" applyNumberFormat="1" applyFont="1" applyBorder="1" applyAlignment="1">
      <alignment horizontal="center" vertical="top" wrapText="1"/>
    </xf>
    <xf numFmtId="6" fontId="29" fillId="0" borderId="102" xfId="0" applyNumberFormat="1" applyFont="1" applyBorder="1" applyAlignment="1">
      <alignment horizontal="center" vertical="top" wrapText="1"/>
    </xf>
    <xf numFmtId="0" fontId="28" fillId="0" borderId="106" xfId="0" applyFont="1" applyBorder="1" applyAlignment="1">
      <alignment vertical="top" wrapText="1"/>
    </xf>
    <xf numFmtId="6" fontId="29" fillId="0" borderId="93" xfId="0" applyNumberFormat="1" applyFont="1" applyBorder="1" applyAlignment="1">
      <alignment horizontal="center" vertical="top" wrapText="1"/>
    </xf>
    <xf numFmtId="6" fontId="29" fillId="0" borderId="100" xfId="0" applyNumberFormat="1" applyFont="1" applyBorder="1" applyAlignment="1">
      <alignment horizontal="center" vertical="top" wrapText="1"/>
    </xf>
    <xf numFmtId="6" fontId="29" fillId="0" borderId="95" xfId="0" applyNumberFormat="1" applyFont="1" applyBorder="1" applyAlignment="1">
      <alignment horizontal="center" vertical="top" wrapText="1"/>
    </xf>
    <xf numFmtId="0" fontId="28" fillId="0" borderId="111" xfId="0" applyFont="1" applyBorder="1" applyAlignment="1">
      <alignment horizontal="left" vertical="top" wrapText="1"/>
    </xf>
    <xf numFmtId="170" fontId="28" fillId="0" borderId="90" xfId="0" applyNumberFormat="1" applyFont="1" applyBorder="1" applyAlignment="1">
      <alignment horizontal="center" vertical="top" wrapText="1"/>
    </xf>
    <xf numFmtId="0" fontId="28" fillId="0" borderId="111" xfId="0" applyFont="1" applyBorder="1" applyAlignment="1">
      <alignment horizontal="center" vertical="top" wrapText="1"/>
    </xf>
    <xf numFmtId="0" fontId="28" fillId="0" borderId="99" xfId="0" applyFont="1" applyBorder="1" applyAlignment="1">
      <alignment horizontal="right" vertical="top" wrapText="1"/>
    </xf>
    <xf numFmtId="170" fontId="28" fillId="0" borderId="94" xfId="0" quotePrefix="1" applyNumberFormat="1" applyFont="1" applyBorder="1" applyAlignment="1">
      <alignment horizontal="center" vertical="top" wrapText="1"/>
    </xf>
    <xf numFmtId="0" fontId="28" fillId="0" borderId="99" xfId="0" applyFont="1" applyBorder="1" applyAlignment="1">
      <alignment horizontal="center" vertical="top" wrapText="1"/>
    </xf>
    <xf numFmtId="0" fontId="27" fillId="22" borderId="90" xfId="0" applyFont="1" applyFill="1" applyBorder="1" applyAlignment="1">
      <alignment vertical="top" wrapText="1"/>
    </xf>
    <xf numFmtId="0" fontId="27" fillId="22" borderId="91" xfId="0" applyFont="1" applyFill="1" applyBorder="1" applyAlignment="1">
      <alignment vertical="top" wrapText="1"/>
    </xf>
    <xf numFmtId="0" fontId="30" fillId="0" borderId="0" xfId="0" applyFont="1"/>
    <xf numFmtId="0" fontId="28" fillId="0" borderId="92" xfId="0" applyFont="1" applyBorder="1" applyAlignment="1">
      <alignment vertical="top" wrapText="1"/>
    </xf>
    <xf numFmtId="6" fontId="29" fillId="0" borderId="93" xfId="0" applyNumberFormat="1" applyFont="1" applyBorder="1" applyAlignment="1">
      <alignment horizontal="right" vertical="top" wrapText="1"/>
    </xf>
    <xf numFmtId="0" fontId="28" fillId="0" borderId="94" xfId="0" applyFont="1" applyBorder="1" applyAlignment="1">
      <alignment vertical="top" wrapText="1"/>
    </xf>
    <xf numFmtId="6" fontId="29" fillId="0" borderId="95" xfId="0" applyNumberFormat="1" applyFont="1" applyBorder="1" applyAlignment="1">
      <alignment horizontal="right" vertical="top" wrapText="1"/>
    </xf>
    <xf numFmtId="0" fontId="28" fillId="0" borderId="96" xfId="0" applyFont="1" applyBorder="1" applyAlignment="1">
      <alignment vertical="top" wrapText="1"/>
    </xf>
    <xf numFmtId="6" fontId="29" fillId="0" borderId="97" xfId="0" applyNumberFormat="1" applyFont="1" applyBorder="1" applyAlignment="1">
      <alignment horizontal="right" vertical="top" wrapText="1"/>
    </xf>
    <xf numFmtId="170" fontId="28" fillId="0" borderId="18" xfId="0" quotePrefix="1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/>
    </xf>
    <xf numFmtId="0" fontId="28" fillId="0" borderId="103" xfId="0" applyFont="1" applyBorder="1" applyAlignment="1">
      <alignment vertical="top" wrapText="1"/>
    </xf>
    <xf numFmtId="6" fontId="29" fillId="0" borderId="104" xfId="0" applyNumberFormat="1" applyFont="1" applyBorder="1" applyAlignment="1">
      <alignment horizontal="center" vertical="top" wrapText="1"/>
    </xf>
    <xf numFmtId="6" fontId="29" fillId="0" borderId="105" xfId="0" applyNumberFormat="1" applyFont="1" applyBorder="1" applyAlignment="1">
      <alignment horizontal="center" vertical="top" wrapText="1"/>
    </xf>
    <xf numFmtId="0" fontId="29" fillId="0" borderId="109" xfId="0" applyFont="1" applyBorder="1" applyAlignment="1">
      <alignment horizontal="center" vertical="top" wrapText="1"/>
    </xf>
    <xf numFmtId="0" fontId="28" fillId="0" borderId="107" xfId="0" applyFont="1" applyBorder="1" applyAlignment="1">
      <alignment vertical="top" wrapText="1"/>
    </xf>
    <xf numFmtId="6" fontId="29" fillId="0" borderId="108" xfId="0" applyNumberFormat="1" applyFont="1" applyBorder="1" applyAlignment="1">
      <alignment horizontal="center" vertical="top" wrapText="1"/>
    </xf>
    <xf numFmtId="6" fontId="29" fillId="0" borderId="97" xfId="0" applyNumberFormat="1" applyFont="1" applyBorder="1" applyAlignment="1">
      <alignment horizontal="center" vertical="top" wrapText="1"/>
    </xf>
    <xf numFmtId="6" fontId="29" fillId="0" borderId="110" xfId="0" applyNumberFormat="1" applyFont="1" applyBorder="1" applyAlignment="1">
      <alignment horizontal="center" vertical="top" wrapText="1"/>
    </xf>
    <xf numFmtId="0" fontId="31" fillId="2" borderId="0" xfId="0" applyFont="1" applyFill="1"/>
    <xf numFmtId="0" fontId="32" fillId="2" borderId="0" xfId="0" applyFont="1" applyFill="1"/>
    <xf numFmtId="0" fontId="28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/>
    <xf numFmtId="164" fontId="31" fillId="0" borderId="0" xfId="0" applyNumberFormat="1" applyFont="1"/>
    <xf numFmtId="164" fontId="32" fillId="0" borderId="1" xfId="0" applyNumberFormat="1" applyFont="1" applyBorder="1"/>
    <xf numFmtId="0" fontId="29" fillId="0" borderId="0" xfId="0" applyFont="1" applyAlignment="1">
      <alignment horizontal="right"/>
    </xf>
    <xf numFmtId="164" fontId="32" fillId="0" borderId="84" xfId="0" applyNumberFormat="1" applyFont="1" applyBorder="1"/>
    <xf numFmtId="164" fontId="31" fillId="0" borderId="36" xfId="0" applyNumberFormat="1" applyFont="1" applyBorder="1"/>
    <xf numFmtId="164" fontId="31" fillId="2" borderId="2" xfId="0" applyNumberFormat="1" applyFont="1" applyFill="1" applyBorder="1"/>
    <xf numFmtId="0" fontId="33" fillId="2" borderId="0" xfId="0" applyFont="1" applyFill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/>
    <xf numFmtId="0" fontId="33" fillId="0" borderId="0" xfId="0" applyFont="1" applyAlignment="1">
      <alignment horizontal="right"/>
    </xf>
    <xf numFmtId="164" fontId="33" fillId="0" borderId="0" xfId="0" applyNumberFormat="1" applyFont="1"/>
    <xf numFmtId="0" fontId="33" fillId="0" borderId="0" xfId="0" applyFont="1"/>
    <xf numFmtId="164" fontId="35" fillId="0" borderId="1" xfId="0" applyNumberFormat="1" applyFont="1" applyBorder="1"/>
    <xf numFmtId="164" fontId="35" fillId="0" borderId="18" xfId="0" applyNumberFormat="1" applyFont="1" applyBorder="1"/>
    <xf numFmtId="164" fontId="33" fillId="0" borderId="1" xfId="0" applyNumberFormat="1" applyFont="1" applyBorder="1"/>
    <xf numFmtId="164" fontId="33" fillId="2" borderId="2" xfId="0" applyNumberFormat="1" applyFont="1" applyFill="1" applyBorder="1"/>
    <xf numFmtId="0" fontId="30" fillId="10" borderId="0" xfId="0" applyFont="1" applyFill="1"/>
    <xf numFmtId="0" fontId="33" fillId="23" borderId="0" xfId="0" applyFont="1" applyFill="1"/>
    <xf numFmtId="0" fontId="36" fillId="2" borderId="0" xfId="0" applyFont="1" applyFill="1"/>
    <xf numFmtId="0" fontId="37" fillId="0" borderId="0" xfId="0" applyFont="1"/>
    <xf numFmtId="0" fontId="38" fillId="0" borderId="0" xfId="0" applyFont="1" applyAlignment="1">
      <alignment horizontal="center"/>
    </xf>
    <xf numFmtId="0" fontId="38" fillId="0" borderId="18" xfId="0" applyFont="1" applyBorder="1"/>
    <xf numFmtId="164" fontId="38" fillId="0" borderId="36" xfId="0" applyNumberFormat="1" applyFont="1" applyBorder="1"/>
    <xf numFmtId="165" fontId="36" fillId="0" borderId="18" xfId="0" applyNumberFormat="1" applyFont="1" applyBorder="1" applyAlignment="1">
      <alignment horizontal="right"/>
    </xf>
    <xf numFmtId="164" fontId="37" fillId="0" borderId="18" xfId="0" applyNumberFormat="1" applyFont="1" applyBorder="1"/>
    <xf numFmtId="165" fontId="39" fillId="0" borderId="18" xfId="0" applyNumberFormat="1" applyFont="1" applyBorder="1" applyAlignment="1">
      <alignment horizontal="right"/>
    </xf>
    <xf numFmtId="164" fontId="39" fillId="0" borderId="18" xfId="0" applyNumberFormat="1" applyFont="1" applyBorder="1"/>
    <xf numFmtId="164" fontId="36" fillId="0" borderId="36" xfId="0" applyNumberFormat="1" applyFont="1" applyBorder="1"/>
    <xf numFmtId="3" fontId="37" fillId="0" borderId="18" xfId="0" applyNumberFormat="1" applyFont="1" applyBorder="1"/>
    <xf numFmtId="164" fontId="39" fillId="0" borderId="36" xfId="0" applyNumberFormat="1" applyFont="1" applyBorder="1"/>
    <xf numFmtId="165" fontId="40" fillId="0" borderId="18" xfId="0" applyNumberFormat="1" applyFont="1" applyBorder="1" applyAlignment="1">
      <alignment horizontal="right"/>
    </xf>
    <xf numFmtId="164" fontId="40" fillId="0" borderId="18" xfId="0" applyNumberFormat="1" applyFont="1" applyBorder="1"/>
    <xf numFmtId="164" fontId="38" fillId="0" borderId="27" xfId="0" applyNumberFormat="1" applyFont="1" applyBorder="1"/>
    <xf numFmtId="164" fontId="36" fillId="0" borderId="0" xfId="0" applyNumberFormat="1" applyFont="1"/>
    <xf numFmtId="0" fontId="38" fillId="0" borderId="0" xfId="0" applyFont="1"/>
    <xf numFmtId="0" fontId="36" fillId="0" borderId="0" xfId="0" applyFont="1" applyAlignment="1">
      <alignment horizontal="right"/>
    </xf>
    <xf numFmtId="164" fontId="38" fillId="0" borderId="1" xfId="0" applyNumberFormat="1" applyFont="1" applyBorder="1"/>
    <xf numFmtId="0" fontId="36" fillId="0" borderId="0" xfId="0" applyFont="1"/>
    <xf numFmtId="164" fontId="36" fillId="0" borderId="1" xfId="0" applyNumberFormat="1" applyFont="1" applyBorder="1"/>
    <xf numFmtId="164" fontId="36" fillId="0" borderId="2" xfId="0" applyNumberFormat="1" applyFont="1" applyBorder="1"/>
    <xf numFmtId="164" fontId="36" fillId="2" borderId="2" xfId="0" applyNumberFormat="1" applyFont="1" applyFill="1" applyBorder="1"/>
    <xf numFmtId="173" fontId="5" fillId="9" borderId="56" xfId="0" applyNumberFormat="1" applyFont="1" applyFill="1" applyBorder="1"/>
    <xf numFmtId="0" fontId="15" fillId="9" borderId="18" xfId="0" applyFont="1" applyFill="1" applyBorder="1"/>
    <xf numFmtId="0" fontId="15" fillId="0" borderId="18" xfId="0" applyFont="1" applyBorder="1" applyAlignment="1">
      <alignment horizontal="right"/>
    </xf>
    <xf numFmtId="0" fontId="8" fillId="24" borderId="82" xfId="0" applyFont="1" applyFill="1" applyBorder="1" applyAlignment="1"/>
    <xf numFmtId="170" fontId="5" fillId="9" borderId="112" xfId="0" applyNumberFormat="1" applyFont="1" applyFill="1" applyBorder="1"/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8" fillId="6" borderId="16" xfId="0" applyFont="1" applyFill="1" applyBorder="1"/>
    <xf numFmtId="0" fontId="10" fillId="0" borderId="17" xfId="0" applyFont="1" applyBorder="1"/>
    <xf numFmtId="0" fontId="10" fillId="0" borderId="18" xfId="0" applyFont="1" applyBorder="1"/>
    <xf numFmtId="0" fontId="8" fillId="6" borderId="23" xfId="0" applyFont="1" applyFill="1" applyBorder="1"/>
    <xf numFmtId="0" fontId="10" fillId="0" borderId="24" xfId="0" applyFont="1" applyBorder="1"/>
    <xf numFmtId="0" fontId="10" fillId="0" borderId="25" xfId="0" applyFont="1" applyBorder="1"/>
    <xf numFmtId="0" fontId="12" fillId="0" borderId="21" xfId="0" applyFont="1" applyBorder="1" applyAlignment="1">
      <alignment horizontal="center" wrapText="1"/>
    </xf>
    <xf numFmtId="0" fontId="10" fillId="0" borderId="12" xfId="0" applyFont="1" applyBorder="1"/>
    <xf numFmtId="0" fontId="10" fillId="0" borderId="22" xfId="0" applyFont="1" applyBorder="1"/>
    <xf numFmtId="0" fontId="9" fillId="5" borderId="16" xfId="0" applyFont="1" applyFill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10" fillId="0" borderId="30" xfId="0" applyFont="1" applyBorder="1"/>
    <xf numFmtId="0" fontId="10" fillId="0" borderId="31" xfId="0" applyFont="1" applyBorder="1"/>
    <xf numFmtId="0" fontId="11" fillId="0" borderId="19" xfId="0" applyFont="1" applyBorder="1" applyAlignment="1">
      <alignment horizontal="center"/>
    </xf>
    <xf numFmtId="0" fontId="10" fillId="0" borderId="1" xfId="0" applyFont="1" applyBorder="1"/>
    <xf numFmtId="0" fontId="10" fillId="0" borderId="20" xfId="0" applyFont="1" applyBorder="1"/>
    <xf numFmtId="0" fontId="11" fillId="0" borderId="14" xfId="0" applyFont="1" applyBorder="1" applyAlignment="1">
      <alignment horizontal="center"/>
    </xf>
    <xf numFmtId="0" fontId="0" fillId="0" borderId="0" xfId="0"/>
    <xf numFmtId="0" fontId="12" fillId="0" borderId="18" xfId="0" applyFont="1" applyBorder="1" applyAlignment="1">
      <alignment horizontal="center" wrapText="1"/>
    </xf>
    <xf numFmtId="0" fontId="0" fillId="0" borderId="18" xfId="0" applyBorder="1"/>
    <xf numFmtId="0" fontId="8" fillId="0" borderId="1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wrapText="1"/>
    </xf>
    <xf numFmtId="0" fontId="8" fillId="6" borderId="16" xfId="0" applyFont="1" applyFill="1" applyBorder="1" applyAlignment="1">
      <alignment horizontal="left"/>
    </xf>
    <xf numFmtId="0" fontId="14" fillId="2" borderId="18" xfId="0" applyFont="1" applyFill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99"/>
      <color rgb="FF729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mshares%20Forecasts%20-%20Combined%20-%20temp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eral Dashboard"/>
      <sheetName val="Start Up Costs"/>
      <sheetName val="Weekly Overheads"/>
      <sheetName val="Community Shares"/>
      <sheetName val="P&amp;L"/>
      <sheetName val="Cash Flow"/>
      <sheetName val="Balance Sheet"/>
      <sheetName val="Mortgage"/>
      <sheetName val="Tax"/>
    </sheetNames>
    <sheetDataSet>
      <sheetData sheetId="0"/>
      <sheetData sheetId="1">
        <row r="4">
          <cell r="D4" t="str">
            <v>Land &amp; Buildings</v>
          </cell>
        </row>
        <row r="5">
          <cell r="D5" t="str">
            <v>Fixtures and Fittings</v>
          </cell>
        </row>
        <row r="6">
          <cell r="D6" t="str">
            <v>Vehicles</v>
          </cell>
        </row>
        <row r="7">
          <cell r="D7" t="str">
            <v>Machinery</v>
          </cell>
        </row>
        <row r="8">
          <cell r="D8" t="str">
            <v>Equipment</v>
          </cell>
        </row>
        <row r="9">
          <cell r="D9" t="str">
            <v>IT</v>
          </cell>
        </row>
        <row r="10">
          <cell r="D10" t="str">
            <v>Property Appreciation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lpamsolicitors.co.uk/fees/property-estate-agency-conveyancing/buying-a-property-fees-calculator/" TargetMode="External"/><Relationship Id="rId2" Type="http://schemas.openxmlformats.org/officeDocument/2006/relationships/hyperlink" Target="https://www.stampdutycalculator.org.uk/stamp-duty-scotland.htm" TargetMode="External"/><Relationship Id="rId1" Type="http://schemas.openxmlformats.org/officeDocument/2006/relationships/hyperlink" Target="https://lha-direct.voa.gov.uk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gov.wales/land-transaction-tax-rates-and-bands" TargetMode="External"/><Relationship Id="rId3" Type="http://schemas.openxmlformats.org/officeDocument/2006/relationships/hyperlink" Target="http://section-8959/" TargetMode="External"/><Relationship Id="rId7" Type="http://schemas.openxmlformats.org/officeDocument/2006/relationships/hyperlink" Target="https://www.elpamsolicitors.co.uk/fees/property-estate-agency-conveyancing/buying-a-property-fees-calculator/" TargetMode="External"/><Relationship Id="rId2" Type="http://schemas.openxmlformats.org/officeDocument/2006/relationships/hyperlink" Target="https://www.gov.scot/policies/taxes/land-and-buildings-transaction-tax/" TargetMode="External"/><Relationship Id="rId1" Type="http://schemas.openxmlformats.org/officeDocument/2006/relationships/hyperlink" Target="https://www.gov.uk/stamp-duty-land-tax/nonresidential-and-mixed-rates" TargetMode="External"/><Relationship Id="rId6" Type="http://schemas.openxmlformats.org/officeDocument/2006/relationships/hyperlink" Target="https://www.elpamsolicitors.co.uk/fees/property-estate-agency-conveyancing/buying-a-property-fees-calculator/" TargetMode="External"/><Relationship Id="rId5" Type="http://schemas.openxmlformats.org/officeDocument/2006/relationships/hyperlink" Target="https://www.gov.uk/stamp-duty-land-tax/residential-property-rates" TargetMode="External"/><Relationship Id="rId10" Type="http://schemas.openxmlformats.org/officeDocument/2006/relationships/printerSettings" Target="../printerSettings/printerSettings10.bin"/><Relationship Id="rId4" Type="http://schemas.openxmlformats.org/officeDocument/2006/relationships/hyperlink" Target="https://www.gov.scot/policies/taxes/land-and-buildings-transaction-tax/" TargetMode="External"/><Relationship Id="rId9" Type="http://schemas.openxmlformats.org/officeDocument/2006/relationships/hyperlink" Target="https://www.elpamsolicitors.co.uk/fees/property-estate-agency-conveyancing/buying-a-property-fees-calculator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B2:I14"/>
  <sheetViews>
    <sheetView topLeftCell="A106" workbookViewId="0">
      <selection activeCell="H19" sqref="H19"/>
    </sheetView>
  </sheetViews>
  <sheetFormatPr defaultColWidth="12.7109375" defaultRowHeight="15.75" customHeight="1"/>
  <cols>
    <col min="1" max="1" width="2.28515625" customWidth="1"/>
    <col min="2" max="2" width="14.140625" customWidth="1"/>
    <col min="3" max="3" width="20.5703125" customWidth="1"/>
    <col min="4" max="4" width="10.42578125" customWidth="1"/>
    <col min="7" max="7" width="7.140625" bestFit="1" customWidth="1"/>
    <col min="8" max="8" width="32.7109375" customWidth="1"/>
    <col min="9" max="9" width="6.28515625" bestFit="1" customWidth="1"/>
  </cols>
  <sheetData>
    <row r="2" spans="2:9" ht="23.25">
      <c r="B2" s="722" t="s">
        <v>0</v>
      </c>
      <c r="C2" s="722"/>
      <c r="D2" s="722"/>
      <c r="E2" s="722"/>
      <c r="F2" s="722"/>
      <c r="G2" s="722"/>
      <c r="H2" s="1"/>
      <c r="I2" s="1"/>
    </row>
    <row r="3" spans="2:9" ht="15.75" customHeight="1">
      <c r="B3" s="723" t="s">
        <v>1</v>
      </c>
      <c r="C3" s="723"/>
      <c r="D3" s="2" t="s">
        <v>186</v>
      </c>
      <c r="E3" s="723" t="s">
        <v>225</v>
      </c>
      <c r="F3" s="723"/>
      <c r="G3" s="3">
        <v>0</v>
      </c>
      <c r="H3" s="1"/>
      <c r="I3" s="1"/>
    </row>
    <row r="4" spans="2:9" ht="15.75" customHeight="1">
      <c r="B4" s="723" t="s">
        <v>2</v>
      </c>
      <c r="C4" s="723"/>
      <c r="D4" s="3">
        <v>2.8000000000000001E-2</v>
      </c>
      <c r="E4" s="723" t="s">
        <v>228</v>
      </c>
      <c r="F4" s="723"/>
      <c r="G4" s="3">
        <v>1</v>
      </c>
      <c r="H4" s="1"/>
      <c r="I4" s="1"/>
    </row>
    <row r="5" spans="2:9" ht="15.75" customHeight="1">
      <c r="B5" s="723" t="s">
        <v>254</v>
      </c>
      <c r="C5" s="723"/>
      <c r="D5" s="3">
        <v>2.5000000000000001E-2</v>
      </c>
      <c r="E5" s="723" t="s">
        <v>329</v>
      </c>
      <c r="F5" s="723"/>
      <c r="G5" s="3">
        <v>0.19</v>
      </c>
      <c r="H5" s="1"/>
      <c r="I5" s="1"/>
    </row>
    <row r="6" spans="2:9" ht="23.25">
      <c r="B6" s="722" t="s">
        <v>3</v>
      </c>
      <c r="C6" s="722"/>
      <c r="D6" s="722"/>
      <c r="E6" s="722"/>
      <c r="F6" s="1"/>
      <c r="G6" s="722" t="s">
        <v>4</v>
      </c>
      <c r="H6" s="722"/>
      <c r="I6" s="722"/>
    </row>
    <row r="7" spans="2:9" ht="15.75" customHeight="1">
      <c r="B7" s="725" t="s">
        <v>5</v>
      </c>
      <c r="C7" s="725"/>
      <c r="D7" s="725" t="s">
        <v>6</v>
      </c>
      <c r="E7" s="725"/>
      <c r="F7" s="1"/>
      <c r="G7" s="723" t="s">
        <v>7</v>
      </c>
      <c r="H7" s="723"/>
      <c r="I7" s="4">
        <v>0</v>
      </c>
    </row>
    <row r="8" spans="2:9" ht="15.75" customHeight="1">
      <c r="B8" s="723" t="s">
        <v>8</v>
      </c>
      <c r="C8" s="723"/>
      <c r="D8" s="724">
        <v>100</v>
      </c>
      <c r="E8" s="724"/>
      <c r="F8" s="1"/>
      <c r="G8" s="723" t="s">
        <v>9</v>
      </c>
      <c r="H8" s="723"/>
      <c r="I8" s="134">
        <v>18</v>
      </c>
    </row>
    <row r="9" spans="2:9" ht="15.75" customHeight="1">
      <c r="B9" s="723" t="s">
        <v>10</v>
      </c>
      <c r="C9" s="723"/>
      <c r="D9" s="724">
        <v>30</v>
      </c>
      <c r="E9" s="724"/>
      <c r="F9" s="1"/>
      <c r="G9" s="723" t="s">
        <v>11</v>
      </c>
      <c r="H9" s="723"/>
      <c r="I9" s="3">
        <v>0.5</v>
      </c>
    </row>
    <row r="10" spans="2:9" ht="15.75" customHeight="1">
      <c r="B10" s="723" t="s">
        <v>12</v>
      </c>
      <c r="C10" s="723"/>
      <c r="D10" s="724">
        <v>5</v>
      </c>
      <c r="E10" s="724"/>
      <c r="F10" s="1"/>
      <c r="G10" s="1"/>
      <c r="H10" s="1"/>
      <c r="I10" s="1"/>
    </row>
    <row r="11" spans="2:9" ht="15.75" customHeight="1">
      <c r="B11" s="723" t="s">
        <v>13</v>
      </c>
      <c r="C11" s="723"/>
      <c r="D11" s="724">
        <v>10</v>
      </c>
      <c r="E11" s="724"/>
      <c r="F11" s="1"/>
      <c r="G11" s="1"/>
      <c r="H11" s="1"/>
      <c r="I11" s="1"/>
    </row>
    <row r="12" spans="2:9" ht="15.75" customHeight="1">
      <c r="B12" s="723" t="s">
        <v>14</v>
      </c>
      <c r="C12" s="723"/>
      <c r="D12" s="724">
        <v>7</v>
      </c>
      <c r="E12" s="724"/>
      <c r="F12" s="1"/>
      <c r="G12" s="1"/>
      <c r="H12" s="1"/>
      <c r="I12" s="1"/>
    </row>
    <row r="13" spans="2:9" ht="15.75" customHeight="1">
      <c r="B13" s="723" t="s">
        <v>15</v>
      </c>
      <c r="C13" s="723"/>
      <c r="D13" s="724">
        <v>3</v>
      </c>
      <c r="E13" s="724"/>
      <c r="F13" s="1"/>
      <c r="G13" s="1"/>
      <c r="H13" s="1"/>
      <c r="I13" s="1"/>
    </row>
    <row r="14" spans="2:9" ht="15.75" customHeight="1">
      <c r="B14" s="1"/>
      <c r="C14" s="1"/>
      <c r="D14" s="1"/>
      <c r="E14" s="1"/>
      <c r="F14" s="1"/>
      <c r="G14" s="1"/>
      <c r="H14" s="1"/>
      <c r="I14" s="1"/>
    </row>
  </sheetData>
  <mergeCells count="27">
    <mergeCell ref="B12:C12"/>
    <mergeCell ref="D12:E12"/>
    <mergeCell ref="B13:C13"/>
    <mergeCell ref="D13:E13"/>
    <mergeCell ref="B7:C7"/>
    <mergeCell ref="B8:C8"/>
    <mergeCell ref="D8:E8"/>
    <mergeCell ref="B9:C9"/>
    <mergeCell ref="D9:E9"/>
    <mergeCell ref="D7:E7"/>
    <mergeCell ref="G7:H7"/>
    <mergeCell ref="B10:C10"/>
    <mergeCell ref="D10:E10"/>
    <mergeCell ref="B11:C11"/>
    <mergeCell ref="D11:E11"/>
    <mergeCell ref="G8:H8"/>
    <mergeCell ref="G9:H9"/>
    <mergeCell ref="B2:D2"/>
    <mergeCell ref="B3:C3"/>
    <mergeCell ref="B4:C4"/>
    <mergeCell ref="B6:E6"/>
    <mergeCell ref="G6:I6"/>
    <mergeCell ref="E3:F3"/>
    <mergeCell ref="E2:G2"/>
    <mergeCell ref="E4:F4"/>
    <mergeCell ref="B5:C5"/>
    <mergeCell ref="E5:F5"/>
  </mergeCells>
  <dataValidations count="1">
    <dataValidation type="list" allowBlank="1" showErrorMessage="1" sqref="D3">
      <formula1>"Yes,No"</formula1>
    </dataValidation>
  </dataValidations>
  <pageMargins left="0.39370078740157483" right="0.39370078740157483" top="0.39370078740157483" bottom="0.3937007874015748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1000"/>
  <sheetViews>
    <sheetView workbookViewId="0">
      <selection activeCell="G4" sqref="G4"/>
    </sheetView>
  </sheetViews>
  <sheetFormatPr defaultColWidth="12.7109375" defaultRowHeight="15.75" customHeight="1"/>
  <cols>
    <col min="1" max="1" width="2.140625" customWidth="1"/>
    <col min="2" max="2" width="15.140625" customWidth="1"/>
    <col min="3" max="3" width="23.28515625" customWidth="1"/>
    <col min="4" max="4" width="22.140625" customWidth="1"/>
    <col min="5" max="5" width="16.42578125" customWidth="1"/>
    <col min="6" max="6" width="14.42578125" customWidth="1"/>
    <col min="7" max="7" width="12.7109375" customWidth="1"/>
    <col min="8" max="8" width="3.85546875" customWidth="1"/>
    <col min="9" max="9" width="21" customWidth="1"/>
    <col min="10" max="10" width="20.140625" customWidth="1"/>
    <col min="11" max="12" width="10.140625" customWidth="1"/>
    <col min="13" max="27" width="7" customWidth="1"/>
  </cols>
  <sheetData>
    <row r="1" spans="2:12" ht="12.75" customHeight="1">
      <c r="D1" s="22"/>
    </row>
    <row r="2" spans="2:12" ht="17.25" customHeight="1">
      <c r="B2" s="726" t="s">
        <v>122</v>
      </c>
      <c r="C2" s="727"/>
      <c r="D2" s="727"/>
      <c r="E2" s="727"/>
      <c r="F2" s="727"/>
      <c r="G2" s="727"/>
      <c r="H2" s="727"/>
      <c r="I2" s="727"/>
      <c r="J2" s="728"/>
    </row>
    <row r="3" spans="2:12" ht="26.25" customHeight="1">
      <c r="B3" s="23" t="s">
        <v>123</v>
      </c>
      <c r="C3" s="24" t="str">
        <f>'General Dashboard'!D3</f>
        <v>No</v>
      </c>
      <c r="D3" s="25" t="s">
        <v>124</v>
      </c>
      <c r="E3" s="26" t="s">
        <v>125</v>
      </c>
      <c r="F3" s="27" t="s">
        <v>42</v>
      </c>
      <c r="G3" s="27" t="s">
        <v>126</v>
      </c>
      <c r="H3" s="24"/>
      <c r="I3" s="28" t="s">
        <v>127</v>
      </c>
      <c r="J3" s="29"/>
    </row>
    <row r="4" spans="2:12" ht="14.25" customHeight="1">
      <c r="B4" s="23" t="s">
        <v>128</v>
      </c>
      <c r="C4" s="429" t="str">
        <f>'Financial Model'!J11</f>
        <v>Wales</v>
      </c>
      <c r="D4" s="31" t="s">
        <v>8</v>
      </c>
      <c r="E4" s="24">
        <f>'General Dashboard'!D8</f>
        <v>100</v>
      </c>
      <c r="F4" s="32">
        <f t="shared" ref="F4:F9" ca="1" si="0">SUMIF($B$14:$F$34,D4,$F$14:$F$34)/E4</f>
        <v>1500</v>
      </c>
      <c r="G4" s="33">
        <f t="shared" ref="G4:G9" ca="1" si="1">SUMIF($B$14:$F$34,D4,$F$14:$F$34)</f>
        <v>150000</v>
      </c>
      <c r="H4" s="28"/>
      <c r="I4" s="24" t="str">
        <f>B12</f>
        <v>Fixed Assets</v>
      </c>
      <c r="J4" s="34">
        <f>SUM(F14:F34)</f>
        <v>155000</v>
      </c>
    </row>
    <row r="5" spans="2:12" ht="14.25" customHeight="1">
      <c r="B5" s="23" t="s">
        <v>230</v>
      </c>
      <c r="C5" s="609" t="str">
        <f>'Financial Model'!H11</f>
        <v>Cardiff</v>
      </c>
      <c r="D5" s="31" t="s">
        <v>10</v>
      </c>
      <c r="E5" s="24">
        <f>'General Dashboard'!D9</f>
        <v>30</v>
      </c>
      <c r="F5" s="32">
        <f t="shared" ca="1" si="0"/>
        <v>166.66666666666666</v>
      </c>
      <c r="G5" s="33">
        <f t="shared" ca="1" si="1"/>
        <v>5000</v>
      </c>
      <c r="H5" s="28"/>
      <c r="I5" s="24"/>
      <c r="J5" s="29"/>
    </row>
    <row r="6" spans="2:12" ht="14.25" customHeight="1">
      <c r="B6" s="23"/>
      <c r="C6" s="24"/>
      <c r="D6" s="31" t="s">
        <v>12</v>
      </c>
      <c r="E6" s="24">
        <f>'General Dashboard'!D10</f>
        <v>5</v>
      </c>
      <c r="F6" s="32">
        <f t="shared" ca="1" si="0"/>
        <v>0</v>
      </c>
      <c r="G6" s="33">
        <f t="shared" ca="1" si="1"/>
        <v>0</v>
      </c>
      <c r="H6" s="24"/>
      <c r="I6" s="24" t="str">
        <f>I12</f>
        <v>Fees And Taxes</v>
      </c>
      <c r="J6" s="34">
        <f>SUM(L16:L34)+L13</f>
        <v>18450</v>
      </c>
    </row>
    <row r="7" spans="2:12" ht="14.25" customHeight="1">
      <c r="B7" s="23" t="s">
        <v>129</v>
      </c>
      <c r="C7" s="35">
        <f>SUM(J4:J9)</f>
        <v>173450</v>
      </c>
      <c r="D7" s="31" t="s">
        <v>13</v>
      </c>
      <c r="E7" s="24">
        <f>'General Dashboard'!D11</f>
        <v>10</v>
      </c>
      <c r="F7" s="32">
        <f t="shared" ca="1" si="0"/>
        <v>0</v>
      </c>
      <c r="G7" s="33">
        <f t="shared" ca="1" si="1"/>
        <v>0</v>
      </c>
      <c r="H7" s="24"/>
      <c r="I7" s="24" t="str">
        <f>B37</f>
        <v>Business Development</v>
      </c>
      <c r="J7" s="36"/>
    </row>
    <row r="8" spans="2:12" ht="14.25" customHeight="1">
      <c r="B8" s="23" t="s">
        <v>130</v>
      </c>
      <c r="C8" s="35">
        <f>L14</f>
        <v>0</v>
      </c>
      <c r="D8" s="31" t="s">
        <v>14</v>
      </c>
      <c r="E8" s="24">
        <f>'General Dashboard'!D12</f>
        <v>7</v>
      </c>
      <c r="F8" s="32">
        <f t="shared" ca="1" si="0"/>
        <v>0</v>
      </c>
      <c r="G8" s="33">
        <f t="shared" ca="1" si="1"/>
        <v>0</v>
      </c>
      <c r="H8" s="24"/>
      <c r="I8" s="24" t="str">
        <f>I37</f>
        <v>Working Capital</v>
      </c>
      <c r="J8" s="37">
        <f>L44</f>
        <v>0</v>
      </c>
    </row>
    <row r="9" spans="2:12" ht="14.25" customHeight="1">
      <c r="B9" s="38" t="s">
        <v>131</v>
      </c>
      <c r="C9" s="39">
        <f>SUM(C7:C8)</f>
        <v>173450</v>
      </c>
      <c r="D9" s="457" t="s">
        <v>15</v>
      </c>
      <c r="E9" s="458">
        <f>'General Dashboard'!D13</f>
        <v>3</v>
      </c>
      <c r="F9" s="459">
        <f t="shared" ca="1" si="0"/>
        <v>0</v>
      </c>
      <c r="G9" s="460">
        <f t="shared" ca="1" si="1"/>
        <v>0</v>
      </c>
      <c r="H9" s="40"/>
      <c r="I9" s="40" t="str">
        <f>I46</f>
        <v>Covering Initial Losses</v>
      </c>
      <c r="J9" s="41">
        <f>K47</f>
        <v>0</v>
      </c>
    </row>
    <row r="10" spans="2:12" ht="12.75" customHeight="1">
      <c r="D10" s="461" t="s">
        <v>254</v>
      </c>
      <c r="E10" s="462">
        <f>'General Dashboard'!D5</f>
        <v>2.5000000000000001E-2</v>
      </c>
      <c r="F10" s="463">
        <f ca="1">G4*E10</f>
        <v>3750</v>
      </c>
      <c r="G10" s="464">
        <f ca="1">G4</f>
        <v>150000</v>
      </c>
    </row>
    <row r="11" spans="2:12" ht="12.75" customHeight="1">
      <c r="D11" s="22"/>
    </row>
    <row r="12" spans="2:12" ht="17.25" customHeight="1">
      <c r="B12" s="726" t="s">
        <v>77</v>
      </c>
      <c r="C12" s="727"/>
      <c r="D12" s="727"/>
      <c r="E12" s="727"/>
      <c r="F12" s="728"/>
      <c r="I12" s="726" t="s">
        <v>132</v>
      </c>
      <c r="J12" s="727"/>
      <c r="K12" s="727"/>
      <c r="L12" s="728"/>
    </row>
    <row r="13" spans="2:12" ht="12.75" customHeight="1">
      <c r="B13" s="42" t="s">
        <v>133</v>
      </c>
      <c r="C13" s="43" t="s">
        <v>134</v>
      </c>
      <c r="D13" s="44" t="s">
        <v>135</v>
      </c>
      <c r="E13" s="43" t="s">
        <v>136</v>
      </c>
      <c r="F13" s="45" t="s">
        <v>126</v>
      </c>
      <c r="I13" s="46" t="s">
        <v>137</v>
      </c>
      <c r="L13" s="47">
        <f>IF(C14="Residential",IF(C4="England or Northern Ireland",'Land Transaction Tax Rates'!E56,IF(C4="Scotland",'Land Transaction Tax Rates'!J56,IF(C4="Wales",'Land Transaction Tax Rates'!O56,0))),IF(C4="England or Northern Ireland",'Land Transaction Tax Rates'!E11,IF(C4="Scotland",'Land Transaction Tax Rates'!J11,IF(C4="Wales",'Land Transaction Tax Rates'!O13,0))))</f>
        <v>7500</v>
      </c>
    </row>
    <row r="14" spans="2:12" ht="12.75" customHeight="1">
      <c r="B14" s="140" t="str">
        <f>D4</f>
        <v>Land &amp; Buildings</v>
      </c>
      <c r="C14" s="30" t="s">
        <v>160</v>
      </c>
      <c r="D14" s="610">
        <f>'Financial Model'!D2</f>
        <v>150000</v>
      </c>
      <c r="E14" s="30">
        <v>1</v>
      </c>
      <c r="F14" s="34">
        <f t="shared" ref="F14:F34" si="2">E14*D14</f>
        <v>150000</v>
      </c>
      <c r="I14" s="46" t="s">
        <v>139</v>
      </c>
      <c r="L14" s="49">
        <f>IF(C3="Yes",SUM(F15:F34)*0.2+IF(C14="Commercial",F14*0.2,0)+SUMIF(K16:L34,"Plus VAT",L16:L34)+L39*0.2,0)</f>
        <v>0</v>
      </c>
    </row>
    <row r="15" spans="2:12" ht="14.25" customHeight="1">
      <c r="B15" s="23" t="s">
        <v>10</v>
      </c>
      <c r="C15" s="30" t="s">
        <v>218</v>
      </c>
      <c r="D15" s="48">
        <f>'Financial Model'!D4</f>
        <v>5000</v>
      </c>
      <c r="E15" s="30">
        <v>1</v>
      </c>
      <c r="F15" s="34">
        <f t="shared" si="2"/>
        <v>5000</v>
      </c>
      <c r="I15" s="50" t="s">
        <v>134</v>
      </c>
      <c r="J15" s="51" t="s">
        <v>140</v>
      </c>
      <c r="K15" s="51" t="s">
        <v>139</v>
      </c>
      <c r="L15" s="52" t="s">
        <v>135</v>
      </c>
    </row>
    <row r="16" spans="2:12" ht="14.25" customHeight="1">
      <c r="B16" s="23"/>
      <c r="C16" s="53"/>
      <c r="D16" s="48"/>
      <c r="E16" s="30"/>
      <c r="F16" s="34">
        <f t="shared" si="2"/>
        <v>0</v>
      </c>
      <c r="I16" s="54" t="s">
        <v>219</v>
      </c>
      <c r="J16" s="30" t="s">
        <v>220</v>
      </c>
      <c r="K16" s="30" t="s">
        <v>221</v>
      </c>
      <c r="L16" s="418">
        <f>'Land Transaction Tax Rates'!J62</f>
        <v>1500</v>
      </c>
    </row>
    <row r="17" spans="2:12" ht="14.25" customHeight="1">
      <c r="B17" s="23"/>
      <c r="C17" s="53"/>
      <c r="D17" s="48"/>
      <c r="E17" s="30"/>
      <c r="F17" s="34">
        <f t="shared" si="2"/>
        <v>0</v>
      </c>
      <c r="I17" s="54" t="s">
        <v>223</v>
      </c>
      <c r="J17" s="30" t="s">
        <v>224</v>
      </c>
      <c r="K17" s="30" t="s">
        <v>221</v>
      </c>
      <c r="L17" s="418">
        <f>'Financial Model'!D6</f>
        <v>8200</v>
      </c>
    </row>
    <row r="18" spans="2:12" ht="14.25" customHeight="1">
      <c r="B18" s="23"/>
      <c r="C18" s="53"/>
      <c r="D18" s="48"/>
      <c r="E18" s="30"/>
      <c r="F18" s="34">
        <f t="shared" si="2"/>
        <v>0</v>
      </c>
      <c r="I18" s="54" t="s">
        <v>326</v>
      </c>
      <c r="J18" s="429" t="s">
        <v>327</v>
      </c>
      <c r="K18" s="429" t="s">
        <v>221</v>
      </c>
      <c r="L18" s="430">
        <f>'Financial Model'!S13</f>
        <v>1250</v>
      </c>
    </row>
    <row r="19" spans="2:12" ht="14.25" customHeight="1">
      <c r="B19" s="23"/>
      <c r="C19" s="53"/>
      <c r="D19" s="48"/>
      <c r="E19" s="30"/>
      <c r="F19" s="34">
        <f t="shared" si="2"/>
        <v>0</v>
      </c>
      <c r="I19" s="54"/>
      <c r="J19" s="30"/>
      <c r="K19" s="30"/>
      <c r="L19" s="55"/>
    </row>
    <row r="20" spans="2:12" ht="14.25" customHeight="1">
      <c r="B20" s="23"/>
      <c r="C20" s="53"/>
      <c r="D20" s="48"/>
      <c r="E20" s="30"/>
      <c r="F20" s="34">
        <f t="shared" si="2"/>
        <v>0</v>
      </c>
      <c r="I20" s="54"/>
      <c r="J20" s="30"/>
      <c r="K20" s="30"/>
      <c r="L20" s="55"/>
    </row>
    <row r="21" spans="2:12" ht="14.25" customHeight="1">
      <c r="B21" s="23"/>
      <c r="C21" s="53"/>
      <c r="D21" s="48"/>
      <c r="E21" s="30"/>
      <c r="F21" s="34">
        <f t="shared" si="2"/>
        <v>0</v>
      </c>
      <c r="I21" s="54"/>
      <c r="J21" s="30"/>
      <c r="K21" s="30"/>
      <c r="L21" s="55"/>
    </row>
    <row r="22" spans="2:12" ht="14.25" customHeight="1">
      <c r="B22" s="23"/>
      <c r="C22" s="53"/>
      <c r="D22" s="48"/>
      <c r="E22" s="30"/>
      <c r="F22" s="34">
        <f t="shared" si="2"/>
        <v>0</v>
      </c>
      <c r="I22" s="54"/>
      <c r="J22" s="30"/>
      <c r="K22" s="30"/>
      <c r="L22" s="55"/>
    </row>
    <row r="23" spans="2:12" ht="14.25" customHeight="1">
      <c r="B23" s="23"/>
      <c r="C23" s="53"/>
      <c r="D23" s="48"/>
      <c r="E23" s="30"/>
      <c r="F23" s="34">
        <f t="shared" si="2"/>
        <v>0</v>
      </c>
      <c r="I23" s="54"/>
      <c r="J23" s="30"/>
      <c r="K23" s="30"/>
      <c r="L23" s="55"/>
    </row>
    <row r="24" spans="2:12" ht="14.25" customHeight="1">
      <c r="B24" s="23"/>
      <c r="C24" s="53"/>
      <c r="D24" s="48"/>
      <c r="E24" s="30"/>
      <c r="F24" s="34">
        <f t="shared" si="2"/>
        <v>0</v>
      </c>
      <c r="I24" s="54"/>
      <c r="J24" s="30"/>
      <c r="K24" s="30"/>
      <c r="L24" s="55"/>
    </row>
    <row r="25" spans="2:12" ht="14.25" customHeight="1">
      <c r="B25" s="23"/>
      <c r="C25" s="53"/>
      <c r="D25" s="48"/>
      <c r="E25" s="30"/>
      <c r="F25" s="34">
        <f t="shared" si="2"/>
        <v>0</v>
      </c>
      <c r="I25" s="54"/>
      <c r="J25" s="30"/>
      <c r="K25" s="30"/>
      <c r="L25" s="55"/>
    </row>
    <row r="26" spans="2:12" ht="14.25" customHeight="1">
      <c r="B26" s="23"/>
      <c r="C26" s="53"/>
      <c r="D26" s="48"/>
      <c r="E26" s="30"/>
      <c r="F26" s="34">
        <f t="shared" si="2"/>
        <v>0</v>
      </c>
      <c r="I26" s="54"/>
      <c r="J26" s="30"/>
      <c r="K26" s="30"/>
      <c r="L26" s="55"/>
    </row>
    <row r="27" spans="2:12" ht="14.25" customHeight="1">
      <c r="B27" s="23"/>
      <c r="C27" s="53"/>
      <c r="D27" s="48"/>
      <c r="E27" s="30"/>
      <c r="F27" s="34">
        <f t="shared" si="2"/>
        <v>0</v>
      </c>
      <c r="I27" s="54"/>
      <c r="J27" s="30"/>
      <c r="K27" s="30"/>
      <c r="L27" s="55"/>
    </row>
    <row r="28" spans="2:12" ht="14.25" customHeight="1">
      <c r="B28" s="23"/>
      <c r="C28" s="53"/>
      <c r="D28" s="48"/>
      <c r="E28" s="30"/>
      <c r="F28" s="34">
        <f t="shared" si="2"/>
        <v>0</v>
      </c>
      <c r="I28" s="54"/>
      <c r="J28" s="30"/>
      <c r="K28" s="30"/>
      <c r="L28" s="55"/>
    </row>
    <row r="29" spans="2:12" ht="14.25" customHeight="1">
      <c r="B29" s="23"/>
      <c r="C29" s="53"/>
      <c r="D29" s="48"/>
      <c r="E29" s="30"/>
      <c r="F29" s="34">
        <f t="shared" si="2"/>
        <v>0</v>
      </c>
      <c r="I29" s="54"/>
      <c r="J29" s="30"/>
      <c r="K29" s="30"/>
      <c r="L29" s="55"/>
    </row>
    <row r="30" spans="2:12" ht="14.25" customHeight="1">
      <c r="B30" s="23"/>
      <c r="C30" s="53"/>
      <c r="D30" s="48"/>
      <c r="E30" s="30"/>
      <c r="F30" s="34">
        <f t="shared" si="2"/>
        <v>0</v>
      </c>
      <c r="I30" s="54"/>
      <c r="J30" s="30"/>
      <c r="K30" s="30"/>
      <c r="L30" s="55"/>
    </row>
    <row r="31" spans="2:12" ht="14.25" customHeight="1">
      <c r="B31" s="23"/>
      <c r="C31" s="53"/>
      <c r="D31" s="48"/>
      <c r="E31" s="30"/>
      <c r="F31" s="34">
        <f t="shared" si="2"/>
        <v>0</v>
      </c>
      <c r="I31" s="54"/>
      <c r="J31" s="30"/>
      <c r="K31" s="30"/>
      <c r="L31" s="55"/>
    </row>
    <row r="32" spans="2:12" ht="14.25" customHeight="1">
      <c r="B32" s="23"/>
      <c r="C32" s="53"/>
      <c r="D32" s="48"/>
      <c r="E32" s="30"/>
      <c r="F32" s="34">
        <f t="shared" si="2"/>
        <v>0</v>
      </c>
      <c r="I32" s="54"/>
      <c r="J32" s="30"/>
      <c r="K32" s="30"/>
      <c r="L32" s="55"/>
    </row>
    <row r="33" spans="2:12" ht="14.25" customHeight="1">
      <c r="B33" s="23"/>
      <c r="C33" s="53"/>
      <c r="D33" s="48"/>
      <c r="E33" s="30"/>
      <c r="F33" s="34">
        <f t="shared" si="2"/>
        <v>0</v>
      </c>
      <c r="I33" s="54"/>
      <c r="J33" s="30"/>
      <c r="K33" s="30"/>
      <c r="L33" s="55"/>
    </row>
    <row r="34" spans="2:12" ht="14.25" customHeight="1">
      <c r="B34" s="38"/>
      <c r="C34" s="56"/>
      <c r="D34" s="57"/>
      <c r="E34" s="58"/>
      <c r="F34" s="34">
        <f t="shared" si="2"/>
        <v>0</v>
      </c>
      <c r="I34" s="59"/>
      <c r="J34" s="58"/>
      <c r="K34" s="58"/>
      <c r="L34" s="60"/>
    </row>
    <row r="35" spans="2:12" ht="12.75" customHeight="1">
      <c r="D35" s="22"/>
      <c r="L35" s="16"/>
    </row>
    <row r="36" spans="2:12" ht="12.75" customHeight="1">
      <c r="D36" s="22"/>
    </row>
    <row r="37" spans="2:12" ht="17.25" customHeight="1">
      <c r="B37" s="726" t="s">
        <v>36</v>
      </c>
      <c r="C37" s="727"/>
      <c r="D37" s="727"/>
      <c r="E37" s="727"/>
      <c r="F37" s="728"/>
      <c r="I37" s="726" t="s">
        <v>141</v>
      </c>
      <c r="J37" s="727"/>
      <c r="K37" s="727"/>
      <c r="L37" s="728"/>
    </row>
    <row r="38" spans="2:12" ht="12.75" customHeight="1">
      <c r="B38" s="23" t="s">
        <v>142</v>
      </c>
      <c r="C38" s="24" t="s">
        <v>134</v>
      </c>
      <c r="D38" s="61" t="s">
        <v>136</v>
      </c>
      <c r="E38" s="24" t="s">
        <v>135</v>
      </c>
      <c r="F38" s="29" t="s">
        <v>126</v>
      </c>
      <c r="I38" s="23"/>
      <c r="J38" s="62" t="s">
        <v>140</v>
      </c>
      <c r="K38" s="24"/>
      <c r="L38" s="29" t="s">
        <v>135</v>
      </c>
    </row>
    <row r="39" spans="2:12" ht="12.75" customHeight="1">
      <c r="B39" s="54" t="s">
        <v>143</v>
      </c>
      <c r="C39" s="30" t="s">
        <v>144</v>
      </c>
      <c r="D39" s="30">
        <v>1</v>
      </c>
      <c r="E39" s="63">
        <v>0</v>
      </c>
      <c r="F39" s="36">
        <f>D39*E39</f>
        <v>0</v>
      </c>
      <c r="I39" s="23" t="s">
        <v>81</v>
      </c>
      <c r="J39" s="24" t="s">
        <v>145</v>
      </c>
      <c r="K39" s="24"/>
      <c r="L39" s="37">
        <v>0</v>
      </c>
    </row>
    <row r="40" spans="2:12" ht="35.25" customHeight="1">
      <c r="B40" s="54"/>
      <c r="C40" s="30"/>
      <c r="D40" s="30"/>
      <c r="E40" s="63"/>
      <c r="F40" s="36">
        <f t="shared" ref="F40:F51" si="3">K78*J78</f>
        <v>0</v>
      </c>
      <c r="I40" s="23" t="s">
        <v>146</v>
      </c>
      <c r="J40" s="64" t="s">
        <v>147</v>
      </c>
      <c r="K40" s="64" t="s">
        <v>148</v>
      </c>
      <c r="L40" s="29"/>
    </row>
    <row r="41" spans="2:12" ht="12.75" customHeight="1">
      <c r="B41" s="54"/>
      <c r="C41" s="30"/>
      <c r="D41" s="30"/>
      <c r="E41" s="63"/>
      <c r="F41" s="36">
        <f t="shared" si="3"/>
        <v>0</v>
      </c>
      <c r="I41" s="23"/>
      <c r="J41" s="24">
        <f>'General Dashboard'!I7</f>
        <v>0</v>
      </c>
      <c r="K41" s="48">
        <v>0</v>
      </c>
      <c r="L41" s="37">
        <f>J41/30*K41</f>
        <v>0</v>
      </c>
    </row>
    <row r="42" spans="2:12" ht="24" customHeight="1">
      <c r="B42" s="54"/>
      <c r="C42" s="30"/>
      <c r="D42" s="30"/>
      <c r="E42" s="63"/>
      <c r="F42" s="36">
        <f t="shared" si="3"/>
        <v>0</v>
      </c>
      <c r="I42" s="23" t="s">
        <v>149</v>
      </c>
      <c r="J42" s="64" t="s">
        <v>147</v>
      </c>
      <c r="K42" s="64" t="s">
        <v>150</v>
      </c>
      <c r="L42" s="29"/>
    </row>
    <row r="43" spans="2:12" ht="12.75" customHeight="1">
      <c r="B43" s="54"/>
      <c r="C43" s="30"/>
      <c r="D43" s="30"/>
      <c r="E43" s="63"/>
      <c r="F43" s="36">
        <f t="shared" si="3"/>
        <v>0</v>
      </c>
      <c r="I43" s="23"/>
      <c r="J43" s="24">
        <f>'General Dashboard'!I8</f>
        <v>18</v>
      </c>
      <c r="K43" s="48"/>
      <c r="L43" s="37">
        <f>J43/30*K43</f>
        <v>0</v>
      </c>
    </row>
    <row r="44" spans="2:12" ht="12.75" customHeight="1">
      <c r="B44" s="54"/>
      <c r="C44" s="30"/>
      <c r="D44" s="30"/>
      <c r="E44" s="63"/>
      <c r="F44" s="36">
        <f t="shared" si="3"/>
        <v>0</v>
      </c>
      <c r="I44" s="38" t="s">
        <v>151</v>
      </c>
      <c r="J44" s="40"/>
      <c r="K44" s="40"/>
      <c r="L44" s="65">
        <f>(L39+L41-L43)*1.05</f>
        <v>0</v>
      </c>
    </row>
    <row r="45" spans="2:12" ht="12.75" customHeight="1">
      <c r="B45" s="54"/>
      <c r="C45" s="30"/>
      <c r="D45" s="30"/>
      <c r="E45" s="63"/>
      <c r="F45" s="36">
        <f t="shared" si="3"/>
        <v>0</v>
      </c>
    </row>
    <row r="46" spans="2:12" ht="17.25" customHeight="1">
      <c r="B46" s="54"/>
      <c r="C46" s="30"/>
      <c r="D46" s="30"/>
      <c r="E46" s="63"/>
      <c r="F46" s="36">
        <f t="shared" si="3"/>
        <v>0</v>
      </c>
      <c r="I46" s="726" t="s">
        <v>152</v>
      </c>
      <c r="J46" s="727"/>
      <c r="K46" s="728"/>
    </row>
    <row r="47" spans="2:12" ht="12.75" customHeight="1">
      <c r="B47" s="54"/>
      <c r="C47" s="30"/>
      <c r="D47" s="30"/>
      <c r="E47" s="63"/>
      <c r="F47" s="36">
        <f t="shared" si="3"/>
        <v>0</v>
      </c>
      <c r="I47" s="23" t="s">
        <v>153</v>
      </c>
      <c r="J47" s="24"/>
      <c r="K47" s="66">
        <v>0</v>
      </c>
    </row>
    <row r="48" spans="2:12" ht="12.75" customHeight="1">
      <c r="B48" s="54"/>
      <c r="C48" s="30"/>
      <c r="D48" s="30"/>
      <c r="E48" s="63"/>
      <c r="F48" s="36">
        <f t="shared" si="3"/>
        <v>0</v>
      </c>
      <c r="I48" s="38" t="s">
        <v>154</v>
      </c>
      <c r="J48" s="40"/>
      <c r="K48" s="67"/>
    </row>
    <row r="49" spans="2:6" ht="12.75" customHeight="1">
      <c r="B49" s="54"/>
      <c r="C49" s="30"/>
      <c r="D49" s="30"/>
      <c r="E49" s="63"/>
      <c r="F49" s="36">
        <f t="shared" si="3"/>
        <v>0</v>
      </c>
    </row>
    <row r="50" spans="2:6" ht="12.75" customHeight="1">
      <c r="B50" s="54"/>
      <c r="C50" s="30"/>
      <c r="D50" s="30"/>
      <c r="E50" s="63"/>
      <c r="F50" s="36">
        <f t="shared" si="3"/>
        <v>0</v>
      </c>
    </row>
    <row r="51" spans="2:6" ht="12.75" customHeight="1">
      <c r="B51" s="59"/>
      <c r="C51" s="58"/>
      <c r="D51" s="58"/>
      <c r="E51" s="68"/>
      <c r="F51" s="69">
        <f t="shared" si="3"/>
        <v>0</v>
      </c>
    </row>
    <row r="52" spans="2:6" ht="12.75" customHeight="1">
      <c r="D52" s="22"/>
    </row>
    <row r="53" spans="2:6" ht="12.75" customHeight="1">
      <c r="D53" s="22"/>
    </row>
    <row r="54" spans="2:6" ht="12.75" customHeight="1">
      <c r="D54" s="22"/>
    </row>
    <row r="55" spans="2:6" ht="12.75" customHeight="1">
      <c r="D55" s="22"/>
    </row>
    <row r="56" spans="2:6" ht="12.75" customHeight="1">
      <c r="D56" s="22"/>
    </row>
    <row r="57" spans="2:6" ht="12.75" customHeight="1">
      <c r="D57" s="22"/>
    </row>
    <row r="58" spans="2:6" ht="12.75" customHeight="1">
      <c r="D58" s="22"/>
    </row>
    <row r="59" spans="2:6" ht="12.75" customHeight="1">
      <c r="D59" s="22"/>
    </row>
    <row r="60" spans="2:6" ht="12.75" customHeight="1">
      <c r="D60" s="22"/>
    </row>
    <row r="61" spans="2:6" ht="12.75" customHeight="1">
      <c r="D61" s="22"/>
    </row>
    <row r="62" spans="2:6" ht="12.75" customHeight="1">
      <c r="D62" s="22"/>
    </row>
    <row r="63" spans="2:6" ht="12.75" customHeight="1">
      <c r="D63" s="22"/>
    </row>
    <row r="64" spans="2:6" ht="12.75" customHeight="1">
      <c r="D64" s="22"/>
    </row>
    <row r="65" spans="4:4" ht="12.75" customHeight="1">
      <c r="D65" s="22"/>
    </row>
    <row r="66" spans="4:4" ht="12.75" customHeight="1">
      <c r="D66" s="22"/>
    </row>
    <row r="67" spans="4:4" ht="12.75" customHeight="1">
      <c r="D67" s="22"/>
    </row>
    <row r="68" spans="4:4" ht="12.75" customHeight="1">
      <c r="D68" s="22"/>
    </row>
    <row r="69" spans="4:4" ht="12.75" customHeight="1">
      <c r="D69" s="22"/>
    </row>
    <row r="70" spans="4:4" ht="12.75" customHeight="1">
      <c r="D70" s="22"/>
    </row>
    <row r="71" spans="4:4" ht="12.75" customHeight="1">
      <c r="D71" s="22"/>
    </row>
    <row r="72" spans="4:4" ht="12.75" customHeight="1">
      <c r="D72" s="22"/>
    </row>
    <row r="73" spans="4:4" ht="12.75" customHeight="1">
      <c r="D73" s="22"/>
    </row>
    <row r="74" spans="4:4" ht="12.75" customHeight="1">
      <c r="D74" s="22"/>
    </row>
    <row r="75" spans="4:4" ht="12.75" customHeight="1">
      <c r="D75" s="22"/>
    </row>
    <row r="76" spans="4:4" ht="12.75" customHeight="1">
      <c r="D76" s="22"/>
    </row>
    <row r="77" spans="4:4" ht="12.75" customHeight="1">
      <c r="D77" s="22"/>
    </row>
    <row r="78" spans="4:4" ht="12.75" customHeight="1">
      <c r="D78" s="22"/>
    </row>
    <row r="79" spans="4:4" ht="12.75" customHeight="1">
      <c r="D79" s="22"/>
    </row>
    <row r="80" spans="4:4" ht="12.75" customHeight="1">
      <c r="D80" s="22"/>
    </row>
    <row r="81" spans="4:4" ht="12.75" customHeight="1">
      <c r="D81" s="22"/>
    </row>
    <row r="82" spans="4:4" ht="12.75" customHeight="1">
      <c r="D82" s="22"/>
    </row>
    <row r="83" spans="4:4" ht="12.75" customHeight="1">
      <c r="D83" s="22"/>
    </row>
    <row r="84" spans="4:4" ht="12.75" customHeight="1">
      <c r="D84" s="22"/>
    </row>
    <row r="85" spans="4:4" ht="12.75" customHeight="1">
      <c r="D85" s="22"/>
    </row>
    <row r="86" spans="4:4" ht="12.75" customHeight="1">
      <c r="D86" s="22"/>
    </row>
    <row r="87" spans="4:4" ht="12.75" customHeight="1">
      <c r="D87" s="22"/>
    </row>
    <row r="88" spans="4:4" ht="12.75" customHeight="1">
      <c r="D88" s="22"/>
    </row>
    <row r="89" spans="4:4" ht="12.75" customHeight="1">
      <c r="D89" s="22"/>
    </row>
    <row r="90" spans="4:4" ht="12.75" customHeight="1">
      <c r="D90" s="22"/>
    </row>
    <row r="91" spans="4:4" ht="12.75" customHeight="1">
      <c r="D91" s="22"/>
    </row>
    <row r="92" spans="4:4" ht="12.75" customHeight="1">
      <c r="D92" s="22"/>
    </row>
    <row r="93" spans="4:4" ht="12.75" customHeight="1">
      <c r="D93" s="22"/>
    </row>
    <row r="94" spans="4:4" ht="12.75" customHeight="1">
      <c r="D94" s="22"/>
    </row>
    <row r="95" spans="4:4" ht="12.75" customHeight="1">
      <c r="D95" s="22"/>
    </row>
    <row r="96" spans="4:4" ht="12.75" customHeight="1">
      <c r="D96" s="22"/>
    </row>
    <row r="97" spans="4:4" ht="12.75" customHeight="1">
      <c r="D97" s="22"/>
    </row>
    <row r="98" spans="4:4" ht="12.75" customHeight="1">
      <c r="D98" s="22"/>
    </row>
    <row r="99" spans="4:4" ht="12.75" customHeight="1">
      <c r="D99" s="22"/>
    </row>
    <row r="100" spans="4:4" ht="12.75" customHeight="1">
      <c r="D100" s="22"/>
    </row>
    <row r="101" spans="4:4" ht="12.75" customHeight="1">
      <c r="D101" s="22"/>
    </row>
    <row r="102" spans="4:4" ht="12.75" customHeight="1">
      <c r="D102" s="22"/>
    </row>
    <row r="103" spans="4:4" ht="12.75" customHeight="1">
      <c r="D103" s="22"/>
    </row>
    <row r="104" spans="4:4" ht="12.75" customHeight="1">
      <c r="D104" s="22"/>
    </row>
    <row r="105" spans="4:4" ht="12.75" customHeight="1">
      <c r="D105" s="22"/>
    </row>
    <row r="106" spans="4:4" ht="12.75" customHeight="1">
      <c r="D106" s="22"/>
    </row>
    <row r="107" spans="4:4" ht="12.75" customHeight="1">
      <c r="D107" s="22"/>
    </row>
    <row r="108" spans="4:4" ht="12.75" customHeight="1">
      <c r="D108" s="22"/>
    </row>
    <row r="109" spans="4:4" ht="12.75" customHeight="1">
      <c r="D109" s="22"/>
    </row>
    <row r="110" spans="4:4" ht="12.75" customHeight="1">
      <c r="D110" s="22"/>
    </row>
    <row r="111" spans="4:4" ht="12.75" customHeight="1">
      <c r="D111" s="22"/>
    </row>
    <row r="112" spans="4:4" ht="12.75" customHeight="1">
      <c r="D112" s="22"/>
    </row>
    <row r="113" spans="4:4" ht="12.75" customHeight="1">
      <c r="D113" s="22"/>
    </row>
    <row r="114" spans="4:4" ht="12.75" customHeight="1">
      <c r="D114" s="22"/>
    </row>
    <row r="115" spans="4:4" ht="12.75" customHeight="1">
      <c r="D115" s="22"/>
    </row>
    <row r="116" spans="4:4" ht="12.75" customHeight="1">
      <c r="D116" s="22"/>
    </row>
    <row r="117" spans="4:4" ht="12.75" customHeight="1">
      <c r="D117" s="22"/>
    </row>
    <row r="118" spans="4:4" ht="12.75" customHeight="1">
      <c r="D118" s="22"/>
    </row>
    <row r="119" spans="4:4" ht="12.75" customHeight="1">
      <c r="D119" s="22"/>
    </row>
    <row r="120" spans="4:4" ht="12.75" customHeight="1">
      <c r="D120" s="22"/>
    </row>
    <row r="121" spans="4:4" ht="12.75" customHeight="1">
      <c r="D121" s="22"/>
    </row>
    <row r="122" spans="4:4" ht="12.75" customHeight="1">
      <c r="D122" s="22"/>
    </row>
    <row r="123" spans="4:4" ht="12.75" customHeight="1">
      <c r="D123" s="22"/>
    </row>
    <row r="124" spans="4:4" ht="12.75" customHeight="1">
      <c r="D124" s="22"/>
    </row>
    <row r="125" spans="4:4" ht="12.75" customHeight="1">
      <c r="D125" s="22"/>
    </row>
    <row r="126" spans="4:4" ht="12.75" customHeight="1">
      <c r="D126" s="22"/>
    </row>
    <row r="127" spans="4:4" ht="12.75" customHeight="1">
      <c r="D127" s="22"/>
    </row>
    <row r="128" spans="4:4" ht="12.75" customHeight="1">
      <c r="D128" s="22"/>
    </row>
    <row r="129" spans="4:4" ht="12.75" customHeight="1">
      <c r="D129" s="22"/>
    </row>
    <row r="130" spans="4:4" ht="12.75" customHeight="1">
      <c r="D130" s="22"/>
    </row>
    <row r="131" spans="4:4" ht="12.75" customHeight="1">
      <c r="D131" s="22"/>
    </row>
    <row r="132" spans="4:4" ht="12.75" customHeight="1">
      <c r="D132" s="22"/>
    </row>
    <row r="133" spans="4:4" ht="12.75" customHeight="1">
      <c r="D133" s="22"/>
    </row>
    <row r="134" spans="4:4" ht="12.75" customHeight="1">
      <c r="D134" s="22"/>
    </row>
    <row r="135" spans="4:4" ht="12.75" customHeight="1">
      <c r="D135" s="22"/>
    </row>
    <row r="136" spans="4:4" ht="12.75" customHeight="1">
      <c r="D136" s="22"/>
    </row>
    <row r="137" spans="4:4" ht="12.75" customHeight="1">
      <c r="D137" s="22"/>
    </row>
    <row r="138" spans="4:4" ht="12.75" customHeight="1">
      <c r="D138" s="22"/>
    </row>
    <row r="139" spans="4:4" ht="12.75" customHeight="1">
      <c r="D139" s="22"/>
    </row>
    <row r="140" spans="4:4" ht="12.75" customHeight="1">
      <c r="D140" s="22"/>
    </row>
    <row r="141" spans="4:4" ht="12.75" customHeight="1">
      <c r="D141" s="22"/>
    </row>
    <row r="142" spans="4:4" ht="12.75" customHeight="1">
      <c r="D142" s="22"/>
    </row>
    <row r="143" spans="4:4" ht="12.75" customHeight="1">
      <c r="D143" s="22"/>
    </row>
    <row r="144" spans="4:4" ht="12.75" customHeight="1">
      <c r="D144" s="22"/>
    </row>
    <row r="145" spans="4:4" ht="12.75" customHeight="1">
      <c r="D145" s="22"/>
    </row>
    <row r="146" spans="4:4" ht="12.75" customHeight="1">
      <c r="D146" s="22"/>
    </row>
    <row r="147" spans="4:4" ht="12.75" customHeight="1">
      <c r="D147" s="22"/>
    </row>
    <row r="148" spans="4:4" ht="12.75" customHeight="1">
      <c r="D148" s="22"/>
    </row>
    <row r="149" spans="4:4" ht="12.75" customHeight="1">
      <c r="D149" s="22"/>
    </row>
    <row r="150" spans="4:4" ht="12.75" customHeight="1">
      <c r="D150" s="22"/>
    </row>
    <row r="151" spans="4:4" ht="12.75" customHeight="1">
      <c r="D151" s="22"/>
    </row>
    <row r="152" spans="4:4" ht="12.75" customHeight="1">
      <c r="D152" s="22"/>
    </row>
    <row r="153" spans="4:4" ht="12.75" customHeight="1">
      <c r="D153" s="22"/>
    </row>
    <row r="154" spans="4:4" ht="12.75" customHeight="1">
      <c r="D154" s="22"/>
    </row>
    <row r="155" spans="4:4" ht="12.75" customHeight="1">
      <c r="D155" s="22"/>
    </row>
    <row r="156" spans="4:4" ht="12.75" customHeight="1">
      <c r="D156" s="22"/>
    </row>
    <row r="157" spans="4:4" ht="12.75" customHeight="1">
      <c r="D157" s="22"/>
    </row>
    <row r="158" spans="4:4" ht="12.75" customHeight="1">
      <c r="D158" s="22"/>
    </row>
    <row r="159" spans="4:4" ht="12.75" customHeight="1">
      <c r="D159" s="22"/>
    </row>
    <row r="160" spans="4:4" ht="12.75" customHeight="1">
      <c r="D160" s="22"/>
    </row>
    <row r="161" spans="4:4" ht="12.75" customHeight="1">
      <c r="D161" s="22"/>
    </row>
    <row r="162" spans="4:4" ht="12.75" customHeight="1">
      <c r="D162" s="22"/>
    </row>
    <row r="163" spans="4:4" ht="12.75" customHeight="1">
      <c r="D163" s="22"/>
    </row>
    <row r="164" spans="4:4" ht="12.75" customHeight="1">
      <c r="D164" s="22"/>
    </row>
    <row r="165" spans="4:4" ht="12.75" customHeight="1">
      <c r="D165" s="22"/>
    </row>
    <row r="166" spans="4:4" ht="12.75" customHeight="1">
      <c r="D166" s="22"/>
    </row>
    <row r="167" spans="4:4" ht="12.75" customHeight="1">
      <c r="D167" s="22"/>
    </row>
    <row r="168" spans="4:4" ht="12.75" customHeight="1">
      <c r="D168" s="22"/>
    </row>
    <row r="169" spans="4:4" ht="12.75" customHeight="1">
      <c r="D169" s="22"/>
    </row>
    <row r="170" spans="4:4" ht="12.75" customHeight="1">
      <c r="D170" s="22"/>
    </row>
    <row r="171" spans="4:4" ht="12.75" customHeight="1">
      <c r="D171" s="22"/>
    </row>
    <row r="172" spans="4:4" ht="12.75" customHeight="1">
      <c r="D172" s="22"/>
    </row>
    <row r="173" spans="4:4" ht="12.75" customHeight="1">
      <c r="D173" s="22"/>
    </row>
    <row r="174" spans="4:4" ht="12.75" customHeight="1">
      <c r="D174" s="22"/>
    </row>
    <row r="175" spans="4:4" ht="12.75" customHeight="1">
      <c r="D175" s="22"/>
    </row>
    <row r="176" spans="4:4" ht="12.75" customHeight="1">
      <c r="D176" s="22"/>
    </row>
    <row r="177" spans="4:4" ht="12.75" customHeight="1">
      <c r="D177" s="22"/>
    </row>
    <row r="178" spans="4:4" ht="12.75" customHeight="1">
      <c r="D178" s="22"/>
    </row>
    <row r="179" spans="4:4" ht="12.75" customHeight="1">
      <c r="D179" s="22"/>
    </row>
    <row r="180" spans="4:4" ht="12.75" customHeight="1">
      <c r="D180" s="22"/>
    </row>
    <row r="181" spans="4:4" ht="12.75" customHeight="1">
      <c r="D181" s="22"/>
    </row>
    <row r="182" spans="4:4" ht="12.75" customHeight="1">
      <c r="D182" s="22"/>
    </row>
    <row r="183" spans="4:4" ht="12.75" customHeight="1">
      <c r="D183" s="22"/>
    </row>
    <row r="184" spans="4:4" ht="12.75" customHeight="1">
      <c r="D184" s="22"/>
    </row>
    <row r="185" spans="4:4" ht="12.75" customHeight="1">
      <c r="D185" s="22"/>
    </row>
    <row r="186" spans="4:4" ht="12.75" customHeight="1">
      <c r="D186" s="22"/>
    </row>
    <row r="187" spans="4:4" ht="12.75" customHeight="1">
      <c r="D187" s="22"/>
    </row>
    <row r="188" spans="4:4" ht="12.75" customHeight="1">
      <c r="D188" s="22"/>
    </row>
    <row r="189" spans="4:4" ht="12.75" customHeight="1">
      <c r="D189" s="22"/>
    </row>
    <row r="190" spans="4:4" ht="12.75" customHeight="1">
      <c r="D190" s="22"/>
    </row>
    <row r="191" spans="4:4" ht="12.75" customHeight="1">
      <c r="D191" s="22"/>
    </row>
    <row r="192" spans="4:4" ht="12.75" customHeight="1">
      <c r="D192" s="22"/>
    </row>
    <row r="193" spans="4:4" ht="12.75" customHeight="1">
      <c r="D193" s="22"/>
    </row>
    <row r="194" spans="4:4" ht="12.75" customHeight="1">
      <c r="D194" s="22"/>
    </row>
    <row r="195" spans="4:4" ht="12.75" customHeight="1">
      <c r="D195" s="22"/>
    </row>
    <row r="196" spans="4:4" ht="12.75" customHeight="1">
      <c r="D196" s="22"/>
    </row>
    <row r="197" spans="4:4" ht="12.75" customHeight="1">
      <c r="D197" s="22"/>
    </row>
    <row r="198" spans="4:4" ht="12.75" customHeight="1">
      <c r="D198" s="22"/>
    </row>
    <row r="199" spans="4:4" ht="12.75" customHeight="1">
      <c r="D199" s="22"/>
    </row>
    <row r="200" spans="4:4" ht="12.75" customHeight="1">
      <c r="D200" s="22"/>
    </row>
    <row r="201" spans="4:4" ht="12.75" customHeight="1">
      <c r="D201" s="22"/>
    </row>
    <row r="202" spans="4:4" ht="12.75" customHeight="1">
      <c r="D202" s="22"/>
    </row>
    <row r="203" spans="4:4" ht="12.75" customHeight="1">
      <c r="D203" s="22"/>
    </row>
    <row r="204" spans="4:4" ht="12.75" customHeight="1">
      <c r="D204" s="22"/>
    </row>
    <row r="205" spans="4:4" ht="12.75" customHeight="1">
      <c r="D205" s="22"/>
    </row>
    <row r="206" spans="4:4" ht="12.75" customHeight="1">
      <c r="D206" s="22"/>
    </row>
    <row r="207" spans="4:4" ht="12.75" customHeight="1">
      <c r="D207" s="22"/>
    </row>
    <row r="208" spans="4:4" ht="12.75" customHeight="1">
      <c r="D208" s="22"/>
    </row>
    <row r="209" spans="4:4" ht="12.75" customHeight="1">
      <c r="D209" s="22"/>
    </row>
    <row r="210" spans="4:4" ht="12.75" customHeight="1">
      <c r="D210" s="22"/>
    </row>
    <row r="211" spans="4:4" ht="12.75" customHeight="1">
      <c r="D211" s="22"/>
    </row>
    <row r="212" spans="4:4" ht="12.75" customHeight="1">
      <c r="D212" s="22"/>
    </row>
    <row r="213" spans="4:4" ht="12.75" customHeight="1">
      <c r="D213" s="22"/>
    </row>
    <row r="214" spans="4:4" ht="12.75" customHeight="1">
      <c r="D214" s="22"/>
    </row>
    <row r="215" spans="4:4" ht="12.75" customHeight="1">
      <c r="D215" s="22"/>
    </row>
    <row r="216" spans="4:4" ht="12.75" customHeight="1">
      <c r="D216" s="22"/>
    </row>
    <row r="217" spans="4:4" ht="12.75" customHeight="1">
      <c r="D217" s="22"/>
    </row>
    <row r="218" spans="4:4" ht="12.75" customHeight="1">
      <c r="D218" s="22"/>
    </row>
    <row r="219" spans="4:4" ht="12.75" customHeight="1">
      <c r="D219" s="22"/>
    </row>
    <row r="220" spans="4:4" ht="12.75" customHeight="1">
      <c r="D220" s="22"/>
    </row>
    <row r="221" spans="4:4" ht="12.75" customHeight="1">
      <c r="D221" s="22"/>
    </row>
    <row r="222" spans="4:4" ht="12.75" customHeight="1">
      <c r="D222" s="22"/>
    </row>
    <row r="223" spans="4:4" ht="12.75" customHeight="1">
      <c r="D223" s="22"/>
    </row>
    <row r="224" spans="4:4" ht="12.75" customHeight="1">
      <c r="D224" s="22"/>
    </row>
    <row r="225" spans="4:4" ht="12.75" customHeight="1">
      <c r="D225" s="22"/>
    </row>
    <row r="226" spans="4:4" ht="12.75" customHeight="1">
      <c r="D226" s="22"/>
    </row>
    <row r="227" spans="4:4" ht="12.75" customHeight="1">
      <c r="D227" s="22"/>
    </row>
    <row r="228" spans="4:4" ht="12.75" customHeight="1">
      <c r="D228" s="22"/>
    </row>
    <row r="229" spans="4:4" ht="12.75" customHeight="1">
      <c r="D229" s="22"/>
    </row>
    <row r="230" spans="4:4" ht="12.75" customHeight="1">
      <c r="D230" s="22"/>
    </row>
    <row r="231" spans="4:4" ht="12.75" customHeight="1">
      <c r="D231" s="22"/>
    </row>
    <row r="232" spans="4:4" ht="12.75" customHeight="1">
      <c r="D232" s="22"/>
    </row>
    <row r="233" spans="4:4" ht="12.75" customHeight="1">
      <c r="D233" s="22"/>
    </row>
    <row r="234" spans="4:4" ht="12.75" customHeight="1">
      <c r="D234" s="22"/>
    </row>
    <row r="235" spans="4:4" ht="12.75" customHeight="1">
      <c r="D235" s="22"/>
    </row>
    <row r="236" spans="4:4" ht="12.75" customHeight="1">
      <c r="D236" s="22"/>
    </row>
    <row r="237" spans="4:4" ht="12.75" customHeight="1">
      <c r="D237" s="22"/>
    </row>
    <row r="238" spans="4:4" ht="12.75" customHeight="1">
      <c r="D238" s="22"/>
    </row>
    <row r="239" spans="4:4" ht="12.75" customHeight="1">
      <c r="D239" s="22"/>
    </row>
    <row r="240" spans="4:4" ht="12.75" customHeight="1">
      <c r="D240" s="22"/>
    </row>
    <row r="241" spans="4:4" ht="12.75" customHeight="1">
      <c r="D241" s="22"/>
    </row>
    <row r="242" spans="4:4" ht="12.75" customHeight="1">
      <c r="D242" s="22"/>
    </row>
    <row r="243" spans="4:4" ht="12.75" customHeight="1">
      <c r="D243" s="22"/>
    </row>
    <row r="244" spans="4:4" ht="12.75" customHeight="1">
      <c r="D244" s="22"/>
    </row>
    <row r="245" spans="4:4" ht="12.75" customHeight="1">
      <c r="D245" s="22"/>
    </row>
    <row r="246" spans="4:4" ht="12.75" customHeight="1">
      <c r="D246" s="22"/>
    </row>
    <row r="247" spans="4:4" ht="12.75" customHeight="1">
      <c r="D247" s="22"/>
    </row>
    <row r="248" spans="4:4" ht="12.75" customHeight="1">
      <c r="D248" s="22"/>
    </row>
    <row r="249" spans="4:4" ht="12.75" customHeight="1">
      <c r="D249" s="22"/>
    </row>
    <row r="250" spans="4:4" ht="12.75" customHeight="1">
      <c r="D250" s="22"/>
    </row>
    <row r="251" spans="4:4" ht="12.75" customHeight="1">
      <c r="D251" s="22"/>
    </row>
    <row r="252" spans="4:4" ht="12.75" customHeight="1">
      <c r="D252" s="22"/>
    </row>
    <row r="253" spans="4:4" ht="12.75" customHeight="1">
      <c r="D253" s="22"/>
    </row>
    <row r="254" spans="4:4" ht="12.75" customHeight="1">
      <c r="D254" s="22"/>
    </row>
    <row r="255" spans="4:4" ht="12.75" customHeight="1">
      <c r="D255" s="22"/>
    </row>
    <row r="256" spans="4:4" ht="12.75" customHeight="1">
      <c r="D256" s="22"/>
    </row>
    <row r="257" spans="4:4" ht="12.75" customHeight="1">
      <c r="D257" s="22"/>
    </row>
    <row r="258" spans="4:4" ht="12.75" customHeight="1">
      <c r="D258" s="22"/>
    </row>
    <row r="259" spans="4:4" ht="12.75" customHeight="1">
      <c r="D259" s="22"/>
    </row>
    <row r="260" spans="4:4" ht="12.75" customHeight="1">
      <c r="D260" s="22"/>
    </row>
    <row r="261" spans="4:4" ht="12.75" customHeight="1">
      <c r="D261" s="22"/>
    </row>
    <row r="262" spans="4:4" ht="12.75" customHeight="1">
      <c r="D262" s="22"/>
    </row>
    <row r="263" spans="4:4" ht="12.75" customHeight="1">
      <c r="D263" s="22"/>
    </row>
    <row r="264" spans="4:4" ht="12.75" customHeight="1">
      <c r="D264" s="22"/>
    </row>
    <row r="265" spans="4:4" ht="12.75" customHeight="1">
      <c r="D265" s="22"/>
    </row>
    <row r="266" spans="4:4" ht="12.75" customHeight="1">
      <c r="D266" s="22"/>
    </row>
    <row r="267" spans="4:4" ht="12.75" customHeight="1">
      <c r="D267" s="22"/>
    </row>
    <row r="268" spans="4:4" ht="12.75" customHeight="1">
      <c r="D268" s="22"/>
    </row>
    <row r="269" spans="4:4" ht="12.75" customHeight="1">
      <c r="D269" s="22"/>
    </row>
    <row r="270" spans="4:4" ht="12.75" customHeight="1">
      <c r="D270" s="22"/>
    </row>
    <row r="271" spans="4:4" ht="12.75" customHeight="1">
      <c r="D271" s="22"/>
    </row>
    <row r="272" spans="4:4" ht="12.75" customHeight="1">
      <c r="D272" s="22"/>
    </row>
    <row r="273" spans="4:4" ht="12.75" customHeight="1">
      <c r="D273" s="22"/>
    </row>
    <row r="274" spans="4:4" ht="12.75" customHeight="1">
      <c r="D274" s="22"/>
    </row>
    <row r="275" spans="4:4" ht="12.75" customHeight="1">
      <c r="D275" s="22"/>
    </row>
    <row r="276" spans="4:4" ht="12.75" customHeight="1">
      <c r="D276" s="22"/>
    </row>
    <row r="277" spans="4:4" ht="12.75" customHeight="1">
      <c r="D277" s="22"/>
    </row>
    <row r="278" spans="4:4" ht="12.75" customHeight="1">
      <c r="D278" s="22"/>
    </row>
    <row r="279" spans="4:4" ht="12.75" customHeight="1">
      <c r="D279" s="22"/>
    </row>
    <row r="280" spans="4:4" ht="12.75" customHeight="1">
      <c r="D280" s="22"/>
    </row>
    <row r="281" spans="4:4" ht="12.75" customHeight="1">
      <c r="D281" s="22"/>
    </row>
    <row r="282" spans="4:4" ht="12.75" customHeight="1">
      <c r="D282" s="22"/>
    </row>
    <row r="283" spans="4:4" ht="12.75" customHeight="1">
      <c r="D283" s="22"/>
    </row>
    <row r="284" spans="4:4" ht="12.75" customHeight="1">
      <c r="D284" s="22"/>
    </row>
    <row r="285" spans="4:4" ht="12.75" customHeight="1">
      <c r="D285" s="22"/>
    </row>
    <row r="286" spans="4:4" ht="12.75" customHeight="1">
      <c r="D286" s="22"/>
    </row>
    <row r="287" spans="4:4" ht="12.75" customHeight="1">
      <c r="D287" s="22"/>
    </row>
    <row r="288" spans="4:4" ht="12.75" customHeight="1">
      <c r="D288" s="22"/>
    </row>
    <row r="289" spans="4:4" ht="12.75" customHeight="1">
      <c r="D289" s="22"/>
    </row>
    <row r="290" spans="4:4" ht="12.75" customHeight="1">
      <c r="D290" s="22"/>
    </row>
    <row r="291" spans="4:4" ht="12.75" customHeight="1">
      <c r="D291" s="22"/>
    </row>
    <row r="292" spans="4:4" ht="12.75" customHeight="1">
      <c r="D292" s="22"/>
    </row>
    <row r="293" spans="4:4" ht="12.75" customHeight="1">
      <c r="D293" s="22"/>
    </row>
    <row r="294" spans="4:4" ht="12.75" customHeight="1">
      <c r="D294" s="22"/>
    </row>
    <row r="295" spans="4:4" ht="12.75" customHeight="1">
      <c r="D295" s="22"/>
    </row>
    <row r="296" spans="4:4" ht="12.75" customHeight="1">
      <c r="D296" s="22"/>
    </row>
    <row r="297" spans="4:4" ht="12.75" customHeight="1">
      <c r="D297" s="22"/>
    </row>
    <row r="298" spans="4:4" ht="12.75" customHeight="1">
      <c r="D298" s="22"/>
    </row>
    <row r="299" spans="4:4" ht="12.75" customHeight="1">
      <c r="D299" s="22"/>
    </row>
    <row r="300" spans="4:4" ht="12.75" customHeight="1">
      <c r="D300" s="22"/>
    </row>
    <row r="301" spans="4:4" ht="12.75" customHeight="1">
      <c r="D301" s="22"/>
    </row>
    <row r="302" spans="4:4" ht="12.75" customHeight="1">
      <c r="D302" s="22"/>
    </row>
    <row r="303" spans="4:4" ht="12.75" customHeight="1">
      <c r="D303" s="22"/>
    </row>
    <row r="304" spans="4:4" ht="12.75" customHeight="1">
      <c r="D304" s="22"/>
    </row>
    <row r="305" spans="4:4" ht="12.75" customHeight="1">
      <c r="D305" s="22"/>
    </row>
    <row r="306" spans="4:4" ht="12.75" customHeight="1">
      <c r="D306" s="22"/>
    </row>
    <row r="307" spans="4:4" ht="12.75" customHeight="1">
      <c r="D307" s="22"/>
    </row>
    <row r="308" spans="4:4" ht="12.75" customHeight="1">
      <c r="D308" s="22"/>
    </row>
    <row r="309" spans="4:4" ht="12.75" customHeight="1">
      <c r="D309" s="22"/>
    </row>
    <row r="310" spans="4:4" ht="12.75" customHeight="1">
      <c r="D310" s="22"/>
    </row>
    <row r="311" spans="4:4" ht="12.75" customHeight="1">
      <c r="D311" s="22"/>
    </row>
    <row r="312" spans="4:4" ht="12.75" customHeight="1">
      <c r="D312" s="22"/>
    </row>
    <row r="313" spans="4:4" ht="12.75" customHeight="1">
      <c r="D313" s="22"/>
    </row>
    <row r="314" spans="4:4" ht="12.75" customHeight="1">
      <c r="D314" s="22"/>
    </row>
    <row r="315" spans="4:4" ht="12.75" customHeight="1">
      <c r="D315" s="22"/>
    </row>
    <row r="316" spans="4:4" ht="12.75" customHeight="1">
      <c r="D316" s="22"/>
    </row>
    <row r="317" spans="4:4" ht="12.75" customHeight="1">
      <c r="D317" s="22"/>
    </row>
    <row r="318" spans="4:4" ht="12.75" customHeight="1">
      <c r="D318" s="22"/>
    </row>
    <row r="319" spans="4:4" ht="12.75" customHeight="1">
      <c r="D319" s="22"/>
    </row>
    <row r="320" spans="4:4" ht="12.75" customHeight="1">
      <c r="D320" s="22"/>
    </row>
    <row r="321" spans="4:4" ht="12.75" customHeight="1">
      <c r="D321" s="22"/>
    </row>
    <row r="322" spans="4:4" ht="12.75" customHeight="1">
      <c r="D322" s="22"/>
    </row>
    <row r="323" spans="4:4" ht="12.75" customHeight="1">
      <c r="D323" s="22"/>
    </row>
    <row r="324" spans="4:4" ht="12.75" customHeight="1">
      <c r="D324" s="22"/>
    </row>
    <row r="325" spans="4:4" ht="12.75" customHeight="1">
      <c r="D325" s="22"/>
    </row>
    <row r="326" spans="4:4" ht="12.75" customHeight="1">
      <c r="D326" s="22"/>
    </row>
    <row r="327" spans="4:4" ht="12.75" customHeight="1">
      <c r="D327" s="22"/>
    </row>
    <row r="328" spans="4:4" ht="12.75" customHeight="1">
      <c r="D328" s="22"/>
    </row>
    <row r="329" spans="4:4" ht="12.75" customHeight="1">
      <c r="D329" s="22"/>
    </row>
    <row r="330" spans="4:4" ht="12.75" customHeight="1">
      <c r="D330" s="22"/>
    </row>
    <row r="331" spans="4:4" ht="12.75" customHeight="1">
      <c r="D331" s="22"/>
    </row>
    <row r="332" spans="4:4" ht="12.75" customHeight="1">
      <c r="D332" s="22"/>
    </row>
    <row r="333" spans="4:4" ht="12.75" customHeight="1">
      <c r="D333" s="22"/>
    </row>
    <row r="334" spans="4:4" ht="12.75" customHeight="1">
      <c r="D334" s="22"/>
    </row>
    <row r="335" spans="4:4" ht="12.75" customHeight="1">
      <c r="D335" s="22"/>
    </row>
    <row r="336" spans="4:4" ht="12.75" customHeight="1">
      <c r="D336" s="22"/>
    </row>
    <row r="337" spans="4:4" ht="12.75" customHeight="1">
      <c r="D337" s="22"/>
    </row>
    <row r="338" spans="4:4" ht="12.75" customHeight="1">
      <c r="D338" s="22"/>
    </row>
    <row r="339" spans="4:4" ht="12.75" customHeight="1">
      <c r="D339" s="22"/>
    </row>
    <row r="340" spans="4:4" ht="12.75" customHeight="1">
      <c r="D340" s="22"/>
    </row>
    <row r="341" spans="4:4" ht="12.75" customHeight="1">
      <c r="D341" s="22"/>
    </row>
    <row r="342" spans="4:4" ht="12.75" customHeight="1">
      <c r="D342" s="22"/>
    </row>
    <row r="343" spans="4:4" ht="12.75" customHeight="1">
      <c r="D343" s="22"/>
    </row>
    <row r="344" spans="4:4" ht="12.75" customHeight="1">
      <c r="D344" s="22"/>
    </row>
    <row r="345" spans="4:4" ht="12.75" customHeight="1">
      <c r="D345" s="22"/>
    </row>
    <row r="346" spans="4:4" ht="12.75" customHeight="1">
      <c r="D346" s="22"/>
    </row>
    <row r="347" spans="4:4" ht="12.75" customHeight="1">
      <c r="D347" s="22"/>
    </row>
    <row r="348" spans="4:4" ht="12.75" customHeight="1">
      <c r="D348" s="22"/>
    </row>
    <row r="349" spans="4:4" ht="12.75" customHeight="1">
      <c r="D349" s="22"/>
    </row>
    <row r="350" spans="4:4" ht="12.75" customHeight="1">
      <c r="D350" s="22"/>
    </row>
    <row r="351" spans="4:4" ht="12.75" customHeight="1">
      <c r="D351" s="22"/>
    </row>
    <row r="352" spans="4:4" ht="12.75" customHeight="1">
      <c r="D352" s="22"/>
    </row>
    <row r="353" spans="4:4" ht="12.75" customHeight="1">
      <c r="D353" s="22"/>
    </row>
    <row r="354" spans="4:4" ht="12.75" customHeight="1">
      <c r="D354" s="22"/>
    </row>
    <row r="355" spans="4:4" ht="12.75" customHeight="1">
      <c r="D355" s="22"/>
    </row>
    <row r="356" spans="4:4" ht="12.75" customHeight="1">
      <c r="D356" s="22"/>
    </row>
    <row r="357" spans="4:4" ht="12.75" customHeight="1">
      <c r="D357" s="22"/>
    </row>
    <row r="358" spans="4:4" ht="12.75" customHeight="1">
      <c r="D358" s="22"/>
    </row>
    <row r="359" spans="4:4" ht="12.75" customHeight="1">
      <c r="D359" s="22"/>
    </row>
    <row r="360" spans="4:4" ht="12.75" customHeight="1">
      <c r="D360" s="22"/>
    </row>
    <row r="361" spans="4:4" ht="12.75" customHeight="1">
      <c r="D361" s="22"/>
    </row>
    <row r="362" spans="4:4" ht="12.75" customHeight="1">
      <c r="D362" s="22"/>
    </row>
    <row r="363" spans="4:4" ht="12.75" customHeight="1">
      <c r="D363" s="22"/>
    </row>
    <row r="364" spans="4:4" ht="12.75" customHeight="1">
      <c r="D364" s="22"/>
    </row>
    <row r="365" spans="4:4" ht="12.75" customHeight="1">
      <c r="D365" s="22"/>
    </row>
    <row r="366" spans="4:4" ht="12.75" customHeight="1">
      <c r="D366" s="22"/>
    </row>
    <row r="367" spans="4:4" ht="12.75" customHeight="1">
      <c r="D367" s="22"/>
    </row>
    <row r="368" spans="4:4" ht="12.75" customHeight="1">
      <c r="D368" s="22"/>
    </row>
    <row r="369" spans="4:4" ht="12.75" customHeight="1">
      <c r="D369" s="22"/>
    </row>
    <row r="370" spans="4:4" ht="12.75" customHeight="1">
      <c r="D370" s="22"/>
    </row>
    <row r="371" spans="4:4" ht="12.75" customHeight="1">
      <c r="D371" s="22"/>
    </row>
    <row r="372" spans="4:4" ht="12.75" customHeight="1">
      <c r="D372" s="22"/>
    </row>
    <row r="373" spans="4:4" ht="12.75" customHeight="1">
      <c r="D373" s="22"/>
    </row>
    <row r="374" spans="4:4" ht="12.75" customHeight="1">
      <c r="D374" s="22"/>
    </row>
    <row r="375" spans="4:4" ht="12.75" customHeight="1">
      <c r="D375" s="22"/>
    </row>
    <row r="376" spans="4:4" ht="12.75" customHeight="1">
      <c r="D376" s="22"/>
    </row>
    <row r="377" spans="4:4" ht="12.75" customHeight="1">
      <c r="D377" s="22"/>
    </row>
    <row r="378" spans="4:4" ht="12.75" customHeight="1">
      <c r="D378" s="22"/>
    </row>
    <row r="379" spans="4:4" ht="12.75" customHeight="1">
      <c r="D379" s="22"/>
    </row>
    <row r="380" spans="4:4" ht="12.75" customHeight="1">
      <c r="D380" s="22"/>
    </row>
    <row r="381" spans="4:4" ht="12.75" customHeight="1">
      <c r="D381" s="22"/>
    </row>
    <row r="382" spans="4:4" ht="12.75" customHeight="1">
      <c r="D382" s="22"/>
    </row>
    <row r="383" spans="4:4" ht="12.75" customHeight="1">
      <c r="D383" s="22"/>
    </row>
    <row r="384" spans="4:4" ht="12.75" customHeight="1">
      <c r="D384" s="22"/>
    </row>
    <row r="385" spans="4:4" ht="12.75" customHeight="1">
      <c r="D385" s="22"/>
    </row>
    <row r="386" spans="4:4" ht="12.75" customHeight="1">
      <c r="D386" s="22"/>
    </row>
    <row r="387" spans="4:4" ht="12.75" customHeight="1">
      <c r="D387" s="22"/>
    </row>
    <row r="388" spans="4:4" ht="12.75" customHeight="1">
      <c r="D388" s="22"/>
    </row>
    <row r="389" spans="4:4" ht="12.75" customHeight="1">
      <c r="D389" s="22"/>
    </row>
    <row r="390" spans="4:4" ht="12.75" customHeight="1">
      <c r="D390" s="22"/>
    </row>
    <row r="391" spans="4:4" ht="12.75" customHeight="1">
      <c r="D391" s="22"/>
    </row>
    <row r="392" spans="4:4" ht="12.75" customHeight="1">
      <c r="D392" s="22"/>
    </row>
    <row r="393" spans="4:4" ht="12.75" customHeight="1">
      <c r="D393" s="22"/>
    </row>
    <row r="394" spans="4:4" ht="12.75" customHeight="1">
      <c r="D394" s="22"/>
    </row>
    <row r="395" spans="4:4" ht="12.75" customHeight="1">
      <c r="D395" s="22"/>
    </row>
    <row r="396" spans="4:4" ht="12.75" customHeight="1">
      <c r="D396" s="22"/>
    </row>
    <row r="397" spans="4:4" ht="12.75" customHeight="1">
      <c r="D397" s="22"/>
    </row>
    <row r="398" spans="4:4" ht="12.75" customHeight="1">
      <c r="D398" s="22"/>
    </row>
    <row r="399" spans="4:4" ht="12.75" customHeight="1">
      <c r="D399" s="22"/>
    </row>
    <row r="400" spans="4:4" ht="12.75" customHeight="1">
      <c r="D400" s="22"/>
    </row>
    <row r="401" spans="4:4" ht="12.75" customHeight="1">
      <c r="D401" s="22"/>
    </row>
    <row r="402" spans="4:4" ht="12.75" customHeight="1">
      <c r="D402" s="22"/>
    </row>
    <row r="403" spans="4:4" ht="12.75" customHeight="1">
      <c r="D403" s="22"/>
    </row>
    <row r="404" spans="4:4" ht="12.75" customHeight="1">
      <c r="D404" s="22"/>
    </row>
    <row r="405" spans="4:4" ht="12.75" customHeight="1">
      <c r="D405" s="22"/>
    </row>
    <row r="406" spans="4:4" ht="12.75" customHeight="1">
      <c r="D406" s="22"/>
    </row>
    <row r="407" spans="4:4" ht="12.75" customHeight="1">
      <c r="D407" s="22"/>
    </row>
    <row r="408" spans="4:4" ht="12.75" customHeight="1">
      <c r="D408" s="22"/>
    </row>
    <row r="409" spans="4:4" ht="12.75" customHeight="1">
      <c r="D409" s="22"/>
    </row>
    <row r="410" spans="4:4" ht="12.75" customHeight="1">
      <c r="D410" s="22"/>
    </row>
    <row r="411" spans="4:4" ht="12.75" customHeight="1">
      <c r="D411" s="22"/>
    </row>
    <row r="412" spans="4:4" ht="12.75" customHeight="1">
      <c r="D412" s="22"/>
    </row>
    <row r="413" spans="4:4" ht="12.75" customHeight="1">
      <c r="D413" s="22"/>
    </row>
    <row r="414" spans="4:4" ht="12.75" customHeight="1">
      <c r="D414" s="22"/>
    </row>
    <row r="415" spans="4:4" ht="12.75" customHeight="1">
      <c r="D415" s="22"/>
    </row>
    <row r="416" spans="4:4" ht="12.75" customHeight="1">
      <c r="D416" s="22"/>
    </row>
    <row r="417" spans="4:4" ht="12.75" customHeight="1">
      <c r="D417" s="22"/>
    </row>
    <row r="418" spans="4:4" ht="12.75" customHeight="1">
      <c r="D418" s="22"/>
    </row>
    <row r="419" spans="4:4" ht="12.75" customHeight="1">
      <c r="D419" s="22"/>
    </row>
    <row r="420" spans="4:4" ht="12.75" customHeight="1">
      <c r="D420" s="22"/>
    </row>
    <row r="421" spans="4:4" ht="12.75" customHeight="1">
      <c r="D421" s="22"/>
    </row>
    <row r="422" spans="4:4" ht="12.75" customHeight="1">
      <c r="D422" s="22"/>
    </row>
    <row r="423" spans="4:4" ht="12.75" customHeight="1">
      <c r="D423" s="22"/>
    </row>
    <row r="424" spans="4:4" ht="12.75" customHeight="1">
      <c r="D424" s="22"/>
    </row>
    <row r="425" spans="4:4" ht="12.75" customHeight="1">
      <c r="D425" s="22"/>
    </row>
    <row r="426" spans="4:4" ht="12.75" customHeight="1">
      <c r="D426" s="22"/>
    </row>
    <row r="427" spans="4:4" ht="12.75" customHeight="1">
      <c r="D427" s="22"/>
    </row>
    <row r="428" spans="4:4" ht="12.75" customHeight="1">
      <c r="D428" s="22"/>
    </row>
    <row r="429" spans="4:4" ht="12.75" customHeight="1">
      <c r="D429" s="22"/>
    </row>
    <row r="430" spans="4:4" ht="12.75" customHeight="1">
      <c r="D430" s="22"/>
    </row>
    <row r="431" spans="4:4" ht="12.75" customHeight="1">
      <c r="D431" s="22"/>
    </row>
    <row r="432" spans="4:4" ht="12.75" customHeight="1">
      <c r="D432" s="22"/>
    </row>
    <row r="433" spans="4:4" ht="12.75" customHeight="1">
      <c r="D433" s="22"/>
    </row>
    <row r="434" spans="4:4" ht="12.75" customHeight="1">
      <c r="D434" s="22"/>
    </row>
    <row r="435" spans="4:4" ht="12.75" customHeight="1">
      <c r="D435" s="22"/>
    </row>
    <row r="436" spans="4:4" ht="12.75" customHeight="1">
      <c r="D436" s="22"/>
    </row>
    <row r="437" spans="4:4" ht="12.75" customHeight="1">
      <c r="D437" s="22"/>
    </row>
    <row r="438" spans="4:4" ht="12.75" customHeight="1">
      <c r="D438" s="22"/>
    </row>
    <row r="439" spans="4:4" ht="12.75" customHeight="1">
      <c r="D439" s="22"/>
    </row>
    <row r="440" spans="4:4" ht="12.75" customHeight="1">
      <c r="D440" s="22"/>
    </row>
    <row r="441" spans="4:4" ht="12.75" customHeight="1">
      <c r="D441" s="22"/>
    </row>
    <row r="442" spans="4:4" ht="12.75" customHeight="1">
      <c r="D442" s="22"/>
    </row>
    <row r="443" spans="4:4" ht="12.75" customHeight="1">
      <c r="D443" s="22"/>
    </row>
    <row r="444" spans="4:4" ht="12.75" customHeight="1">
      <c r="D444" s="22"/>
    </row>
    <row r="445" spans="4:4" ht="12.75" customHeight="1">
      <c r="D445" s="22"/>
    </row>
    <row r="446" spans="4:4" ht="12.75" customHeight="1">
      <c r="D446" s="22"/>
    </row>
    <row r="447" spans="4:4" ht="12.75" customHeight="1">
      <c r="D447" s="22"/>
    </row>
    <row r="448" spans="4:4" ht="12.75" customHeight="1">
      <c r="D448" s="22"/>
    </row>
    <row r="449" spans="4:4" ht="12.75" customHeight="1">
      <c r="D449" s="22"/>
    </row>
    <row r="450" spans="4:4" ht="12.75" customHeight="1">
      <c r="D450" s="22"/>
    </row>
    <row r="451" spans="4:4" ht="12.75" customHeight="1">
      <c r="D451" s="22"/>
    </row>
    <row r="452" spans="4:4" ht="12.75" customHeight="1">
      <c r="D452" s="22"/>
    </row>
    <row r="453" spans="4:4" ht="12.75" customHeight="1">
      <c r="D453" s="22"/>
    </row>
    <row r="454" spans="4:4" ht="12.75" customHeight="1">
      <c r="D454" s="22"/>
    </row>
    <row r="455" spans="4:4" ht="12.75" customHeight="1">
      <c r="D455" s="22"/>
    </row>
    <row r="456" spans="4:4" ht="12.75" customHeight="1">
      <c r="D456" s="22"/>
    </row>
    <row r="457" spans="4:4" ht="12.75" customHeight="1">
      <c r="D457" s="22"/>
    </row>
    <row r="458" spans="4:4" ht="12.75" customHeight="1">
      <c r="D458" s="22"/>
    </row>
    <row r="459" spans="4:4" ht="12.75" customHeight="1">
      <c r="D459" s="22"/>
    </row>
    <row r="460" spans="4:4" ht="12.75" customHeight="1">
      <c r="D460" s="22"/>
    </row>
    <row r="461" spans="4:4" ht="12.75" customHeight="1">
      <c r="D461" s="22"/>
    </row>
    <row r="462" spans="4:4" ht="12.75" customHeight="1">
      <c r="D462" s="22"/>
    </row>
    <row r="463" spans="4:4" ht="12.75" customHeight="1">
      <c r="D463" s="22"/>
    </row>
    <row r="464" spans="4:4" ht="12.75" customHeight="1">
      <c r="D464" s="22"/>
    </row>
    <row r="465" spans="4:4" ht="12.75" customHeight="1">
      <c r="D465" s="22"/>
    </row>
    <row r="466" spans="4:4" ht="12.75" customHeight="1">
      <c r="D466" s="22"/>
    </row>
    <row r="467" spans="4:4" ht="12.75" customHeight="1">
      <c r="D467" s="22"/>
    </row>
    <row r="468" spans="4:4" ht="12.75" customHeight="1">
      <c r="D468" s="22"/>
    </row>
    <row r="469" spans="4:4" ht="12.75" customHeight="1">
      <c r="D469" s="22"/>
    </row>
    <row r="470" spans="4:4" ht="12.75" customHeight="1">
      <c r="D470" s="22"/>
    </row>
    <row r="471" spans="4:4" ht="12.75" customHeight="1">
      <c r="D471" s="22"/>
    </row>
    <row r="472" spans="4:4" ht="12.75" customHeight="1">
      <c r="D472" s="22"/>
    </row>
    <row r="473" spans="4:4" ht="12.75" customHeight="1">
      <c r="D473" s="22"/>
    </row>
    <row r="474" spans="4:4" ht="12.75" customHeight="1">
      <c r="D474" s="22"/>
    </row>
    <row r="475" spans="4:4" ht="12.75" customHeight="1">
      <c r="D475" s="22"/>
    </row>
    <row r="476" spans="4:4" ht="12.75" customHeight="1">
      <c r="D476" s="22"/>
    </row>
    <row r="477" spans="4:4" ht="12.75" customHeight="1">
      <c r="D477" s="22"/>
    </row>
    <row r="478" spans="4:4" ht="12.75" customHeight="1">
      <c r="D478" s="22"/>
    </row>
    <row r="479" spans="4:4" ht="12.75" customHeight="1">
      <c r="D479" s="22"/>
    </row>
    <row r="480" spans="4:4" ht="12.75" customHeight="1">
      <c r="D480" s="22"/>
    </row>
    <row r="481" spans="4:4" ht="12.75" customHeight="1">
      <c r="D481" s="22"/>
    </row>
    <row r="482" spans="4:4" ht="12.75" customHeight="1">
      <c r="D482" s="22"/>
    </row>
    <row r="483" spans="4:4" ht="12.75" customHeight="1">
      <c r="D483" s="22"/>
    </row>
    <row r="484" spans="4:4" ht="12.75" customHeight="1">
      <c r="D484" s="22"/>
    </row>
    <row r="485" spans="4:4" ht="12.75" customHeight="1">
      <c r="D485" s="22"/>
    </row>
    <row r="486" spans="4:4" ht="12.75" customHeight="1">
      <c r="D486" s="22"/>
    </row>
    <row r="487" spans="4:4" ht="12.75" customHeight="1">
      <c r="D487" s="22"/>
    </row>
    <row r="488" spans="4:4" ht="12.75" customHeight="1">
      <c r="D488" s="22"/>
    </row>
    <row r="489" spans="4:4" ht="12.75" customHeight="1">
      <c r="D489" s="22"/>
    </row>
    <row r="490" spans="4:4" ht="12.75" customHeight="1">
      <c r="D490" s="22"/>
    </row>
    <row r="491" spans="4:4" ht="12.75" customHeight="1">
      <c r="D491" s="22"/>
    </row>
    <row r="492" spans="4:4" ht="12.75" customHeight="1">
      <c r="D492" s="22"/>
    </row>
    <row r="493" spans="4:4" ht="12.75" customHeight="1">
      <c r="D493" s="22"/>
    </row>
    <row r="494" spans="4:4" ht="12.75" customHeight="1">
      <c r="D494" s="22"/>
    </row>
    <row r="495" spans="4:4" ht="12.75" customHeight="1">
      <c r="D495" s="22"/>
    </row>
    <row r="496" spans="4:4" ht="12.75" customHeight="1">
      <c r="D496" s="22"/>
    </row>
    <row r="497" spans="4:4" ht="12.75" customHeight="1">
      <c r="D497" s="22"/>
    </row>
    <row r="498" spans="4:4" ht="12.75" customHeight="1">
      <c r="D498" s="22"/>
    </row>
    <row r="499" spans="4:4" ht="12.75" customHeight="1">
      <c r="D499" s="22"/>
    </row>
    <row r="500" spans="4:4" ht="12.75" customHeight="1">
      <c r="D500" s="22"/>
    </row>
    <row r="501" spans="4:4" ht="12.75" customHeight="1">
      <c r="D501" s="22"/>
    </row>
    <row r="502" spans="4:4" ht="12.75" customHeight="1">
      <c r="D502" s="22"/>
    </row>
    <row r="503" spans="4:4" ht="12.75" customHeight="1">
      <c r="D503" s="22"/>
    </row>
    <row r="504" spans="4:4" ht="12.75" customHeight="1">
      <c r="D504" s="22"/>
    </row>
    <row r="505" spans="4:4" ht="12.75" customHeight="1">
      <c r="D505" s="22"/>
    </row>
    <row r="506" spans="4:4" ht="12.75" customHeight="1">
      <c r="D506" s="22"/>
    </row>
    <row r="507" spans="4:4" ht="12.75" customHeight="1">
      <c r="D507" s="22"/>
    </row>
    <row r="508" spans="4:4" ht="12.75" customHeight="1">
      <c r="D508" s="22"/>
    </row>
    <row r="509" spans="4:4" ht="12.75" customHeight="1">
      <c r="D509" s="22"/>
    </row>
    <row r="510" spans="4:4" ht="12.75" customHeight="1">
      <c r="D510" s="22"/>
    </row>
    <row r="511" spans="4:4" ht="12.75" customHeight="1">
      <c r="D511" s="22"/>
    </row>
    <row r="512" spans="4:4" ht="12.75" customHeight="1">
      <c r="D512" s="22"/>
    </row>
    <row r="513" spans="4:4" ht="12.75" customHeight="1">
      <c r="D513" s="22"/>
    </row>
    <row r="514" spans="4:4" ht="12.75" customHeight="1">
      <c r="D514" s="22"/>
    </row>
    <row r="515" spans="4:4" ht="12.75" customHeight="1">
      <c r="D515" s="22"/>
    </row>
    <row r="516" spans="4:4" ht="12.75" customHeight="1">
      <c r="D516" s="22"/>
    </row>
    <row r="517" spans="4:4" ht="12.75" customHeight="1">
      <c r="D517" s="22"/>
    </row>
    <row r="518" spans="4:4" ht="12.75" customHeight="1">
      <c r="D518" s="22"/>
    </row>
    <row r="519" spans="4:4" ht="12.75" customHeight="1">
      <c r="D519" s="22"/>
    </row>
    <row r="520" spans="4:4" ht="12.75" customHeight="1">
      <c r="D520" s="22"/>
    </row>
    <row r="521" spans="4:4" ht="12.75" customHeight="1">
      <c r="D521" s="22"/>
    </row>
    <row r="522" spans="4:4" ht="12.75" customHeight="1">
      <c r="D522" s="22"/>
    </row>
    <row r="523" spans="4:4" ht="12.75" customHeight="1">
      <c r="D523" s="22"/>
    </row>
    <row r="524" spans="4:4" ht="12.75" customHeight="1">
      <c r="D524" s="22"/>
    </row>
    <row r="525" spans="4:4" ht="12.75" customHeight="1">
      <c r="D525" s="22"/>
    </row>
    <row r="526" spans="4:4" ht="12.75" customHeight="1">
      <c r="D526" s="22"/>
    </row>
    <row r="527" spans="4:4" ht="12.75" customHeight="1">
      <c r="D527" s="22"/>
    </row>
    <row r="528" spans="4:4" ht="12.75" customHeight="1">
      <c r="D528" s="22"/>
    </row>
    <row r="529" spans="4:4" ht="12.75" customHeight="1">
      <c r="D529" s="22"/>
    </row>
    <row r="530" spans="4:4" ht="12.75" customHeight="1">
      <c r="D530" s="22"/>
    </row>
    <row r="531" spans="4:4" ht="12.75" customHeight="1">
      <c r="D531" s="22"/>
    </row>
    <row r="532" spans="4:4" ht="12.75" customHeight="1">
      <c r="D532" s="22"/>
    </row>
    <row r="533" spans="4:4" ht="12.75" customHeight="1">
      <c r="D533" s="22"/>
    </row>
    <row r="534" spans="4:4" ht="12.75" customHeight="1">
      <c r="D534" s="22"/>
    </row>
    <row r="535" spans="4:4" ht="12.75" customHeight="1">
      <c r="D535" s="22"/>
    </row>
    <row r="536" spans="4:4" ht="12.75" customHeight="1">
      <c r="D536" s="22"/>
    </row>
    <row r="537" spans="4:4" ht="12.75" customHeight="1">
      <c r="D537" s="22"/>
    </row>
    <row r="538" spans="4:4" ht="12.75" customHeight="1">
      <c r="D538" s="22"/>
    </row>
    <row r="539" spans="4:4" ht="12.75" customHeight="1">
      <c r="D539" s="22"/>
    </row>
    <row r="540" spans="4:4" ht="12.75" customHeight="1">
      <c r="D540" s="22"/>
    </row>
    <row r="541" spans="4:4" ht="12.75" customHeight="1">
      <c r="D541" s="22"/>
    </row>
    <row r="542" spans="4:4" ht="12.75" customHeight="1">
      <c r="D542" s="22"/>
    </row>
    <row r="543" spans="4:4" ht="12.75" customHeight="1">
      <c r="D543" s="22"/>
    </row>
    <row r="544" spans="4:4" ht="12.75" customHeight="1">
      <c r="D544" s="22"/>
    </row>
    <row r="545" spans="4:4" ht="12.75" customHeight="1">
      <c r="D545" s="22"/>
    </row>
    <row r="546" spans="4:4" ht="12.75" customHeight="1">
      <c r="D546" s="22"/>
    </row>
    <row r="547" spans="4:4" ht="12.75" customHeight="1">
      <c r="D547" s="22"/>
    </row>
    <row r="548" spans="4:4" ht="12.75" customHeight="1">
      <c r="D548" s="22"/>
    </row>
    <row r="549" spans="4:4" ht="12.75" customHeight="1">
      <c r="D549" s="22"/>
    </row>
    <row r="550" spans="4:4" ht="12.75" customHeight="1">
      <c r="D550" s="22"/>
    </row>
    <row r="551" spans="4:4" ht="12.75" customHeight="1">
      <c r="D551" s="22"/>
    </row>
    <row r="552" spans="4:4" ht="12.75" customHeight="1">
      <c r="D552" s="22"/>
    </row>
    <row r="553" spans="4:4" ht="12.75" customHeight="1">
      <c r="D553" s="22"/>
    </row>
    <row r="554" spans="4:4" ht="12.75" customHeight="1">
      <c r="D554" s="22"/>
    </row>
    <row r="555" spans="4:4" ht="12.75" customHeight="1">
      <c r="D555" s="22"/>
    </row>
    <row r="556" spans="4:4" ht="12.75" customHeight="1">
      <c r="D556" s="22"/>
    </row>
    <row r="557" spans="4:4" ht="12.75" customHeight="1">
      <c r="D557" s="22"/>
    </row>
    <row r="558" spans="4:4" ht="12.75" customHeight="1">
      <c r="D558" s="22"/>
    </row>
    <row r="559" spans="4:4" ht="12.75" customHeight="1">
      <c r="D559" s="22"/>
    </row>
    <row r="560" spans="4:4" ht="12.75" customHeight="1">
      <c r="D560" s="22"/>
    </row>
    <row r="561" spans="4:4" ht="12.75" customHeight="1">
      <c r="D561" s="22"/>
    </row>
    <row r="562" spans="4:4" ht="12.75" customHeight="1">
      <c r="D562" s="22"/>
    </row>
    <row r="563" spans="4:4" ht="12.75" customHeight="1">
      <c r="D563" s="22"/>
    </row>
    <row r="564" spans="4:4" ht="12.75" customHeight="1">
      <c r="D564" s="22"/>
    </row>
    <row r="565" spans="4:4" ht="12.75" customHeight="1">
      <c r="D565" s="22"/>
    </row>
    <row r="566" spans="4:4" ht="12.75" customHeight="1">
      <c r="D566" s="22"/>
    </row>
    <row r="567" spans="4:4" ht="12.75" customHeight="1">
      <c r="D567" s="22"/>
    </row>
    <row r="568" spans="4:4" ht="12.75" customHeight="1">
      <c r="D568" s="22"/>
    </row>
    <row r="569" spans="4:4" ht="12.75" customHeight="1">
      <c r="D569" s="22"/>
    </row>
    <row r="570" spans="4:4" ht="12.75" customHeight="1">
      <c r="D570" s="22"/>
    </row>
    <row r="571" spans="4:4" ht="12.75" customHeight="1">
      <c r="D571" s="22"/>
    </row>
    <row r="572" spans="4:4" ht="12.75" customHeight="1">
      <c r="D572" s="22"/>
    </row>
    <row r="573" spans="4:4" ht="12.75" customHeight="1">
      <c r="D573" s="22"/>
    </row>
    <row r="574" spans="4:4" ht="12.75" customHeight="1">
      <c r="D574" s="22"/>
    </row>
    <row r="575" spans="4:4" ht="12.75" customHeight="1">
      <c r="D575" s="22"/>
    </row>
    <row r="576" spans="4:4" ht="12.75" customHeight="1">
      <c r="D576" s="22"/>
    </row>
    <row r="577" spans="4:4" ht="12.75" customHeight="1">
      <c r="D577" s="22"/>
    </row>
    <row r="578" spans="4:4" ht="12.75" customHeight="1">
      <c r="D578" s="22"/>
    </row>
    <row r="579" spans="4:4" ht="12.75" customHeight="1">
      <c r="D579" s="22"/>
    </row>
    <row r="580" spans="4:4" ht="12.75" customHeight="1">
      <c r="D580" s="22"/>
    </row>
    <row r="581" spans="4:4" ht="12.75" customHeight="1">
      <c r="D581" s="22"/>
    </row>
    <row r="582" spans="4:4" ht="12.75" customHeight="1">
      <c r="D582" s="22"/>
    </row>
    <row r="583" spans="4:4" ht="12.75" customHeight="1">
      <c r="D583" s="22"/>
    </row>
    <row r="584" spans="4:4" ht="12.75" customHeight="1">
      <c r="D584" s="22"/>
    </row>
    <row r="585" spans="4:4" ht="12.75" customHeight="1">
      <c r="D585" s="22"/>
    </row>
    <row r="586" spans="4:4" ht="12.75" customHeight="1">
      <c r="D586" s="22"/>
    </row>
    <row r="587" spans="4:4" ht="12.75" customHeight="1">
      <c r="D587" s="22"/>
    </row>
    <row r="588" spans="4:4" ht="12.75" customHeight="1">
      <c r="D588" s="22"/>
    </row>
    <row r="589" spans="4:4" ht="12.75" customHeight="1">
      <c r="D589" s="22"/>
    </row>
    <row r="590" spans="4:4" ht="12.75" customHeight="1">
      <c r="D590" s="22"/>
    </row>
    <row r="591" spans="4:4" ht="12.75" customHeight="1">
      <c r="D591" s="22"/>
    </row>
    <row r="592" spans="4:4" ht="12.75" customHeight="1">
      <c r="D592" s="22"/>
    </row>
    <row r="593" spans="4:4" ht="12.75" customHeight="1">
      <c r="D593" s="22"/>
    </row>
    <row r="594" spans="4:4" ht="12.75" customHeight="1">
      <c r="D594" s="22"/>
    </row>
    <row r="595" spans="4:4" ht="12.75" customHeight="1">
      <c r="D595" s="22"/>
    </row>
    <row r="596" spans="4:4" ht="12.75" customHeight="1">
      <c r="D596" s="22"/>
    </row>
    <row r="597" spans="4:4" ht="12.75" customHeight="1">
      <c r="D597" s="22"/>
    </row>
    <row r="598" spans="4:4" ht="12.75" customHeight="1">
      <c r="D598" s="22"/>
    </row>
    <row r="599" spans="4:4" ht="12.75" customHeight="1">
      <c r="D599" s="22"/>
    </row>
    <row r="600" spans="4:4" ht="12.75" customHeight="1">
      <c r="D600" s="22"/>
    </row>
    <row r="601" spans="4:4" ht="12.75" customHeight="1">
      <c r="D601" s="22"/>
    </row>
    <row r="602" spans="4:4" ht="12.75" customHeight="1">
      <c r="D602" s="22"/>
    </row>
    <row r="603" spans="4:4" ht="12.75" customHeight="1">
      <c r="D603" s="22"/>
    </row>
    <row r="604" spans="4:4" ht="12.75" customHeight="1">
      <c r="D604" s="22"/>
    </row>
    <row r="605" spans="4:4" ht="12.75" customHeight="1">
      <c r="D605" s="22"/>
    </row>
    <row r="606" spans="4:4" ht="12.75" customHeight="1">
      <c r="D606" s="22"/>
    </row>
    <row r="607" spans="4:4" ht="12.75" customHeight="1">
      <c r="D607" s="22"/>
    </row>
    <row r="608" spans="4:4" ht="12.75" customHeight="1">
      <c r="D608" s="22"/>
    </row>
    <row r="609" spans="4:4" ht="12.75" customHeight="1">
      <c r="D609" s="22"/>
    </row>
    <row r="610" spans="4:4" ht="12.75" customHeight="1">
      <c r="D610" s="22"/>
    </row>
    <row r="611" spans="4:4" ht="12.75" customHeight="1">
      <c r="D611" s="22"/>
    </row>
    <row r="612" spans="4:4" ht="12.75" customHeight="1">
      <c r="D612" s="22"/>
    </row>
    <row r="613" spans="4:4" ht="12.75" customHeight="1">
      <c r="D613" s="22"/>
    </row>
    <row r="614" spans="4:4" ht="12.75" customHeight="1">
      <c r="D614" s="22"/>
    </row>
    <row r="615" spans="4:4" ht="12.75" customHeight="1">
      <c r="D615" s="22"/>
    </row>
    <row r="616" spans="4:4" ht="12.75" customHeight="1">
      <c r="D616" s="22"/>
    </row>
    <row r="617" spans="4:4" ht="12.75" customHeight="1">
      <c r="D617" s="22"/>
    </row>
    <row r="618" spans="4:4" ht="12.75" customHeight="1">
      <c r="D618" s="22"/>
    </row>
    <row r="619" spans="4:4" ht="12.75" customHeight="1">
      <c r="D619" s="22"/>
    </row>
    <row r="620" spans="4:4" ht="12.75" customHeight="1">
      <c r="D620" s="22"/>
    </row>
    <row r="621" spans="4:4" ht="12.75" customHeight="1">
      <c r="D621" s="22"/>
    </row>
    <row r="622" spans="4:4" ht="12.75" customHeight="1">
      <c r="D622" s="22"/>
    </row>
    <row r="623" spans="4:4" ht="12.75" customHeight="1">
      <c r="D623" s="22"/>
    </row>
    <row r="624" spans="4:4" ht="12.75" customHeight="1">
      <c r="D624" s="22"/>
    </row>
    <row r="625" spans="4:4" ht="12.75" customHeight="1">
      <c r="D625" s="22"/>
    </row>
    <row r="626" spans="4:4" ht="12.75" customHeight="1">
      <c r="D626" s="22"/>
    </row>
    <row r="627" spans="4:4" ht="12.75" customHeight="1">
      <c r="D627" s="22"/>
    </row>
    <row r="628" spans="4:4" ht="12.75" customHeight="1">
      <c r="D628" s="22"/>
    </row>
    <row r="629" spans="4:4" ht="12.75" customHeight="1">
      <c r="D629" s="22"/>
    </row>
    <row r="630" spans="4:4" ht="12.75" customHeight="1">
      <c r="D630" s="22"/>
    </row>
    <row r="631" spans="4:4" ht="12.75" customHeight="1">
      <c r="D631" s="22"/>
    </row>
    <row r="632" spans="4:4" ht="12.75" customHeight="1">
      <c r="D632" s="22"/>
    </row>
    <row r="633" spans="4:4" ht="12.75" customHeight="1">
      <c r="D633" s="22"/>
    </row>
    <row r="634" spans="4:4" ht="12.75" customHeight="1">
      <c r="D634" s="22"/>
    </row>
    <row r="635" spans="4:4" ht="12.75" customHeight="1">
      <c r="D635" s="22"/>
    </row>
    <row r="636" spans="4:4" ht="12.75" customHeight="1">
      <c r="D636" s="22"/>
    </row>
    <row r="637" spans="4:4" ht="12.75" customHeight="1">
      <c r="D637" s="22"/>
    </row>
    <row r="638" spans="4:4" ht="12.75" customHeight="1">
      <c r="D638" s="22"/>
    </row>
    <row r="639" spans="4:4" ht="12.75" customHeight="1">
      <c r="D639" s="22"/>
    </row>
    <row r="640" spans="4:4" ht="12.75" customHeight="1">
      <c r="D640" s="22"/>
    </row>
    <row r="641" spans="4:4" ht="12.75" customHeight="1">
      <c r="D641" s="22"/>
    </row>
    <row r="642" spans="4:4" ht="12.75" customHeight="1">
      <c r="D642" s="22"/>
    </row>
    <row r="643" spans="4:4" ht="12.75" customHeight="1">
      <c r="D643" s="22"/>
    </row>
    <row r="644" spans="4:4" ht="12.75" customHeight="1">
      <c r="D644" s="22"/>
    </row>
    <row r="645" spans="4:4" ht="12.75" customHeight="1">
      <c r="D645" s="22"/>
    </row>
    <row r="646" spans="4:4" ht="12.75" customHeight="1">
      <c r="D646" s="22"/>
    </row>
    <row r="647" spans="4:4" ht="12.75" customHeight="1">
      <c r="D647" s="22"/>
    </row>
    <row r="648" spans="4:4" ht="12.75" customHeight="1">
      <c r="D648" s="22"/>
    </row>
    <row r="649" spans="4:4" ht="12.75" customHeight="1">
      <c r="D649" s="22"/>
    </row>
    <row r="650" spans="4:4" ht="12.75" customHeight="1">
      <c r="D650" s="22"/>
    </row>
    <row r="651" spans="4:4" ht="12.75" customHeight="1">
      <c r="D651" s="22"/>
    </row>
    <row r="652" spans="4:4" ht="12.75" customHeight="1">
      <c r="D652" s="22"/>
    </row>
    <row r="653" spans="4:4" ht="12.75" customHeight="1">
      <c r="D653" s="22"/>
    </row>
    <row r="654" spans="4:4" ht="12.75" customHeight="1">
      <c r="D654" s="22"/>
    </row>
    <row r="655" spans="4:4" ht="12.75" customHeight="1">
      <c r="D655" s="22"/>
    </row>
    <row r="656" spans="4:4" ht="12.75" customHeight="1">
      <c r="D656" s="22"/>
    </row>
    <row r="657" spans="4:4" ht="12.75" customHeight="1">
      <c r="D657" s="22"/>
    </row>
    <row r="658" spans="4:4" ht="12.75" customHeight="1">
      <c r="D658" s="22"/>
    </row>
    <row r="659" spans="4:4" ht="12.75" customHeight="1">
      <c r="D659" s="22"/>
    </row>
    <row r="660" spans="4:4" ht="12.75" customHeight="1">
      <c r="D660" s="22"/>
    </row>
    <row r="661" spans="4:4" ht="12.75" customHeight="1">
      <c r="D661" s="22"/>
    </row>
    <row r="662" spans="4:4" ht="12.75" customHeight="1">
      <c r="D662" s="22"/>
    </row>
    <row r="663" spans="4:4" ht="12.75" customHeight="1">
      <c r="D663" s="22"/>
    </row>
    <row r="664" spans="4:4" ht="12.75" customHeight="1">
      <c r="D664" s="22"/>
    </row>
    <row r="665" spans="4:4" ht="12.75" customHeight="1">
      <c r="D665" s="22"/>
    </row>
    <row r="666" spans="4:4" ht="12.75" customHeight="1">
      <c r="D666" s="22"/>
    </row>
    <row r="667" spans="4:4" ht="12.75" customHeight="1">
      <c r="D667" s="22"/>
    </row>
    <row r="668" spans="4:4" ht="12.75" customHeight="1">
      <c r="D668" s="22"/>
    </row>
    <row r="669" spans="4:4" ht="12.75" customHeight="1">
      <c r="D669" s="22"/>
    </row>
    <row r="670" spans="4:4" ht="12.75" customHeight="1">
      <c r="D670" s="22"/>
    </row>
    <row r="671" spans="4:4" ht="12.75" customHeight="1">
      <c r="D671" s="22"/>
    </row>
    <row r="672" spans="4:4" ht="12.75" customHeight="1">
      <c r="D672" s="22"/>
    </row>
    <row r="673" spans="4:4" ht="12.75" customHeight="1">
      <c r="D673" s="22"/>
    </row>
    <row r="674" spans="4:4" ht="12.75" customHeight="1">
      <c r="D674" s="22"/>
    </row>
    <row r="675" spans="4:4" ht="12.75" customHeight="1">
      <c r="D675" s="22"/>
    </row>
    <row r="676" spans="4:4" ht="12.75" customHeight="1">
      <c r="D676" s="22"/>
    </row>
    <row r="677" spans="4:4" ht="12.75" customHeight="1">
      <c r="D677" s="22"/>
    </row>
    <row r="678" spans="4:4" ht="12.75" customHeight="1">
      <c r="D678" s="22"/>
    </row>
    <row r="679" spans="4:4" ht="12.75" customHeight="1">
      <c r="D679" s="22"/>
    </row>
    <row r="680" spans="4:4" ht="12.75" customHeight="1">
      <c r="D680" s="22"/>
    </row>
    <row r="681" spans="4:4" ht="12.75" customHeight="1">
      <c r="D681" s="22"/>
    </row>
    <row r="682" spans="4:4" ht="12.75" customHeight="1">
      <c r="D682" s="22"/>
    </row>
    <row r="683" spans="4:4" ht="12.75" customHeight="1">
      <c r="D683" s="22"/>
    </row>
    <row r="684" spans="4:4" ht="12.75" customHeight="1">
      <c r="D684" s="22"/>
    </row>
    <row r="685" spans="4:4" ht="12.75" customHeight="1">
      <c r="D685" s="22"/>
    </row>
    <row r="686" spans="4:4" ht="12.75" customHeight="1">
      <c r="D686" s="22"/>
    </row>
    <row r="687" spans="4:4" ht="12.75" customHeight="1">
      <c r="D687" s="22"/>
    </row>
    <row r="688" spans="4:4" ht="12.75" customHeight="1">
      <c r="D688" s="22"/>
    </row>
    <row r="689" spans="4:4" ht="12.75" customHeight="1">
      <c r="D689" s="22"/>
    </row>
    <row r="690" spans="4:4" ht="12.75" customHeight="1">
      <c r="D690" s="22"/>
    </row>
    <row r="691" spans="4:4" ht="12.75" customHeight="1">
      <c r="D691" s="22"/>
    </row>
    <row r="692" spans="4:4" ht="12.75" customHeight="1">
      <c r="D692" s="22"/>
    </row>
    <row r="693" spans="4:4" ht="12.75" customHeight="1">
      <c r="D693" s="22"/>
    </row>
    <row r="694" spans="4:4" ht="12.75" customHeight="1">
      <c r="D694" s="22"/>
    </row>
    <row r="695" spans="4:4" ht="12.75" customHeight="1">
      <c r="D695" s="22"/>
    </row>
    <row r="696" spans="4:4" ht="12.75" customHeight="1">
      <c r="D696" s="22"/>
    </row>
    <row r="697" spans="4:4" ht="12.75" customHeight="1">
      <c r="D697" s="22"/>
    </row>
    <row r="698" spans="4:4" ht="12.75" customHeight="1">
      <c r="D698" s="22"/>
    </row>
    <row r="699" spans="4:4" ht="12.75" customHeight="1">
      <c r="D699" s="22"/>
    </row>
    <row r="700" spans="4:4" ht="12.75" customHeight="1">
      <c r="D700" s="22"/>
    </row>
    <row r="701" spans="4:4" ht="12.75" customHeight="1">
      <c r="D701" s="22"/>
    </row>
    <row r="702" spans="4:4" ht="12.75" customHeight="1">
      <c r="D702" s="22"/>
    </row>
    <row r="703" spans="4:4" ht="12.75" customHeight="1">
      <c r="D703" s="22"/>
    </row>
    <row r="704" spans="4:4" ht="12.75" customHeight="1">
      <c r="D704" s="22"/>
    </row>
    <row r="705" spans="4:4" ht="12.75" customHeight="1">
      <c r="D705" s="22"/>
    </row>
    <row r="706" spans="4:4" ht="12.75" customHeight="1">
      <c r="D706" s="22"/>
    </row>
    <row r="707" spans="4:4" ht="12.75" customHeight="1">
      <c r="D707" s="22"/>
    </row>
    <row r="708" spans="4:4" ht="12.75" customHeight="1">
      <c r="D708" s="22"/>
    </row>
    <row r="709" spans="4:4" ht="12.75" customHeight="1">
      <c r="D709" s="22"/>
    </row>
    <row r="710" spans="4:4" ht="12.75" customHeight="1">
      <c r="D710" s="22"/>
    </row>
    <row r="711" spans="4:4" ht="12.75" customHeight="1">
      <c r="D711" s="22"/>
    </row>
    <row r="712" spans="4:4" ht="12.75" customHeight="1">
      <c r="D712" s="22"/>
    </row>
    <row r="713" spans="4:4" ht="12.75" customHeight="1">
      <c r="D713" s="22"/>
    </row>
    <row r="714" spans="4:4" ht="12.75" customHeight="1">
      <c r="D714" s="22"/>
    </row>
    <row r="715" spans="4:4" ht="12.75" customHeight="1">
      <c r="D715" s="22"/>
    </row>
    <row r="716" spans="4:4" ht="12.75" customHeight="1">
      <c r="D716" s="22"/>
    </row>
    <row r="717" spans="4:4" ht="12.75" customHeight="1">
      <c r="D717" s="22"/>
    </row>
    <row r="718" spans="4:4" ht="12.75" customHeight="1">
      <c r="D718" s="22"/>
    </row>
    <row r="719" spans="4:4" ht="12.75" customHeight="1">
      <c r="D719" s="22"/>
    </row>
    <row r="720" spans="4:4" ht="12.75" customHeight="1">
      <c r="D720" s="22"/>
    </row>
    <row r="721" spans="4:4" ht="12.75" customHeight="1">
      <c r="D721" s="22"/>
    </row>
    <row r="722" spans="4:4" ht="12.75" customHeight="1">
      <c r="D722" s="22"/>
    </row>
    <row r="723" spans="4:4" ht="12.75" customHeight="1">
      <c r="D723" s="22"/>
    </row>
    <row r="724" spans="4:4" ht="12.75" customHeight="1">
      <c r="D724" s="22"/>
    </row>
    <row r="725" spans="4:4" ht="12.75" customHeight="1">
      <c r="D725" s="22"/>
    </row>
    <row r="726" spans="4:4" ht="12.75" customHeight="1">
      <c r="D726" s="22"/>
    </row>
    <row r="727" spans="4:4" ht="12.75" customHeight="1">
      <c r="D727" s="22"/>
    </row>
    <row r="728" spans="4:4" ht="12.75" customHeight="1">
      <c r="D728" s="22"/>
    </row>
    <row r="729" spans="4:4" ht="12.75" customHeight="1">
      <c r="D729" s="22"/>
    </row>
    <row r="730" spans="4:4" ht="12.75" customHeight="1">
      <c r="D730" s="22"/>
    </row>
    <row r="731" spans="4:4" ht="12.75" customHeight="1">
      <c r="D731" s="22"/>
    </row>
    <row r="732" spans="4:4" ht="12.75" customHeight="1">
      <c r="D732" s="22"/>
    </row>
    <row r="733" spans="4:4" ht="12.75" customHeight="1">
      <c r="D733" s="22"/>
    </row>
    <row r="734" spans="4:4" ht="12.75" customHeight="1">
      <c r="D734" s="22"/>
    </row>
    <row r="735" spans="4:4" ht="12.75" customHeight="1">
      <c r="D735" s="22"/>
    </row>
    <row r="736" spans="4:4" ht="12.75" customHeight="1">
      <c r="D736" s="22"/>
    </row>
    <row r="737" spans="4:4" ht="12.75" customHeight="1">
      <c r="D737" s="22"/>
    </row>
    <row r="738" spans="4:4" ht="12.75" customHeight="1">
      <c r="D738" s="22"/>
    </row>
    <row r="739" spans="4:4" ht="12.75" customHeight="1">
      <c r="D739" s="22"/>
    </row>
    <row r="740" spans="4:4" ht="12.75" customHeight="1">
      <c r="D740" s="22"/>
    </row>
    <row r="741" spans="4:4" ht="12.75" customHeight="1">
      <c r="D741" s="22"/>
    </row>
    <row r="742" spans="4:4" ht="12.75" customHeight="1">
      <c r="D742" s="22"/>
    </row>
    <row r="743" spans="4:4" ht="12.75" customHeight="1">
      <c r="D743" s="22"/>
    </row>
    <row r="744" spans="4:4" ht="12.75" customHeight="1">
      <c r="D744" s="22"/>
    </row>
    <row r="745" spans="4:4" ht="12.75" customHeight="1">
      <c r="D745" s="22"/>
    </row>
    <row r="746" spans="4:4" ht="12.75" customHeight="1">
      <c r="D746" s="22"/>
    </row>
    <row r="747" spans="4:4" ht="12.75" customHeight="1">
      <c r="D747" s="22"/>
    </row>
    <row r="748" spans="4:4" ht="12.75" customHeight="1">
      <c r="D748" s="22"/>
    </row>
    <row r="749" spans="4:4" ht="12.75" customHeight="1">
      <c r="D749" s="22"/>
    </row>
    <row r="750" spans="4:4" ht="12.75" customHeight="1">
      <c r="D750" s="22"/>
    </row>
    <row r="751" spans="4:4" ht="12.75" customHeight="1">
      <c r="D751" s="22"/>
    </row>
    <row r="752" spans="4:4" ht="12.75" customHeight="1">
      <c r="D752" s="22"/>
    </row>
    <row r="753" spans="4:4" ht="12.75" customHeight="1">
      <c r="D753" s="22"/>
    </row>
    <row r="754" spans="4:4" ht="12.75" customHeight="1">
      <c r="D754" s="22"/>
    </row>
    <row r="755" spans="4:4" ht="12.75" customHeight="1">
      <c r="D755" s="22"/>
    </row>
    <row r="756" spans="4:4" ht="12.75" customHeight="1">
      <c r="D756" s="22"/>
    </row>
    <row r="757" spans="4:4" ht="12.75" customHeight="1">
      <c r="D757" s="22"/>
    </row>
    <row r="758" spans="4:4" ht="12.75" customHeight="1">
      <c r="D758" s="22"/>
    </row>
    <row r="759" spans="4:4" ht="12.75" customHeight="1">
      <c r="D759" s="22"/>
    </row>
    <row r="760" spans="4:4" ht="12.75" customHeight="1">
      <c r="D760" s="22"/>
    </row>
    <row r="761" spans="4:4" ht="12.75" customHeight="1">
      <c r="D761" s="22"/>
    </row>
    <row r="762" spans="4:4" ht="12.75" customHeight="1">
      <c r="D762" s="22"/>
    </row>
    <row r="763" spans="4:4" ht="12.75" customHeight="1">
      <c r="D763" s="22"/>
    </row>
    <row r="764" spans="4:4" ht="12.75" customHeight="1">
      <c r="D764" s="22"/>
    </row>
    <row r="765" spans="4:4" ht="12.75" customHeight="1">
      <c r="D765" s="22"/>
    </row>
    <row r="766" spans="4:4" ht="12.75" customHeight="1">
      <c r="D766" s="22"/>
    </row>
    <row r="767" spans="4:4" ht="12.75" customHeight="1">
      <c r="D767" s="22"/>
    </row>
    <row r="768" spans="4:4" ht="12.75" customHeight="1">
      <c r="D768" s="22"/>
    </row>
    <row r="769" spans="4:4" ht="12.75" customHeight="1">
      <c r="D769" s="22"/>
    </row>
    <row r="770" spans="4:4" ht="12.75" customHeight="1">
      <c r="D770" s="22"/>
    </row>
    <row r="771" spans="4:4" ht="12.75" customHeight="1">
      <c r="D771" s="22"/>
    </row>
    <row r="772" spans="4:4" ht="12.75" customHeight="1">
      <c r="D772" s="22"/>
    </row>
    <row r="773" spans="4:4" ht="12.75" customHeight="1">
      <c r="D773" s="22"/>
    </row>
    <row r="774" spans="4:4" ht="12.75" customHeight="1">
      <c r="D774" s="22"/>
    </row>
    <row r="775" spans="4:4" ht="12.75" customHeight="1">
      <c r="D775" s="22"/>
    </row>
    <row r="776" spans="4:4" ht="12.75" customHeight="1">
      <c r="D776" s="22"/>
    </row>
    <row r="777" spans="4:4" ht="12.75" customHeight="1">
      <c r="D777" s="22"/>
    </row>
    <row r="778" spans="4:4" ht="12.75" customHeight="1">
      <c r="D778" s="22"/>
    </row>
    <row r="779" spans="4:4" ht="12.75" customHeight="1">
      <c r="D779" s="22"/>
    </row>
    <row r="780" spans="4:4" ht="12.75" customHeight="1">
      <c r="D780" s="22"/>
    </row>
    <row r="781" spans="4:4" ht="12.75" customHeight="1">
      <c r="D781" s="22"/>
    </row>
    <row r="782" spans="4:4" ht="12.75" customHeight="1">
      <c r="D782" s="22"/>
    </row>
    <row r="783" spans="4:4" ht="12.75" customHeight="1">
      <c r="D783" s="22"/>
    </row>
    <row r="784" spans="4:4" ht="12.75" customHeight="1">
      <c r="D784" s="22"/>
    </row>
    <row r="785" spans="4:4" ht="12.75" customHeight="1">
      <c r="D785" s="22"/>
    </row>
    <row r="786" spans="4:4" ht="12.75" customHeight="1">
      <c r="D786" s="22"/>
    </row>
    <row r="787" spans="4:4" ht="12.75" customHeight="1">
      <c r="D787" s="22"/>
    </row>
    <row r="788" spans="4:4" ht="12.75" customHeight="1">
      <c r="D788" s="22"/>
    </row>
    <row r="789" spans="4:4" ht="12.75" customHeight="1">
      <c r="D789" s="22"/>
    </row>
    <row r="790" spans="4:4" ht="12.75" customHeight="1">
      <c r="D790" s="22"/>
    </row>
    <row r="791" spans="4:4" ht="12.75" customHeight="1">
      <c r="D791" s="22"/>
    </row>
    <row r="792" spans="4:4" ht="12.75" customHeight="1">
      <c r="D792" s="22"/>
    </row>
    <row r="793" spans="4:4" ht="12.75" customHeight="1">
      <c r="D793" s="22"/>
    </row>
    <row r="794" spans="4:4" ht="12.75" customHeight="1">
      <c r="D794" s="22"/>
    </row>
    <row r="795" spans="4:4" ht="12.75" customHeight="1">
      <c r="D795" s="22"/>
    </row>
    <row r="796" spans="4:4" ht="12.75" customHeight="1">
      <c r="D796" s="22"/>
    </row>
    <row r="797" spans="4:4" ht="12.75" customHeight="1">
      <c r="D797" s="22"/>
    </row>
    <row r="798" spans="4:4" ht="12.75" customHeight="1">
      <c r="D798" s="22"/>
    </row>
    <row r="799" spans="4:4" ht="12.75" customHeight="1">
      <c r="D799" s="22"/>
    </row>
    <row r="800" spans="4:4" ht="12.75" customHeight="1">
      <c r="D800" s="22"/>
    </row>
    <row r="801" spans="4:4" ht="12.75" customHeight="1">
      <c r="D801" s="22"/>
    </row>
    <row r="802" spans="4:4" ht="12.75" customHeight="1">
      <c r="D802" s="22"/>
    </row>
    <row r="803" spans="4:4" ht="12.75" customHeight="1">
      <c r="D803" s="22"/>
    </row>
    <row r="804" spans="4:4" ht="12.75" customHeight="1">
      <c r="D804" s="22"/>
    </row>
    <row r="805" spans="4:4" ht="12.75" customHeight="1">
      <c r="D805" s="22"/>
    </row>
    <row r="806" spans="4:4" ht="12.75" customHeight="1">
      <c r="D806" s="22"/>
    </row>
    <row r="807" spans="4:4" ht="12.75" customHeight="1">
      <c r="D807" s="22"/>
    </row>
    <row r="808" spans="4:4" ht="12.75" customHeight="1">
      <c r="D808" s="22"/>
    </row>
    <row r="809" spans="4:4" ht="12.75" customHeight="1">
      <c r="D809" s="22"/>
    </row>
    <row r="810" spans="4:4" ht="12.75" customHeight="1">
      <c r="D810" s="22"/>
    </row>
    <row r="811" spans="4:4" ht="12.75" customHeight="1">
      <c r="D811" s="22"/>
    </row>
    <row r="812" spans="4:4" ht="12.75" customHeight="1">
      <c r="D812" s="22"/>
    </row>
    <row r="813" spans="4:4" ht="12.75" customHeight="1">
      <c r="D813" s="22"/>
    </row>
    <row r="814" spans="4:4" ht="12.75" customHeight="1">
      <c r="D814" s="22"/>
    </row>
    <row r="815" spans="4:4" ht="12.75" customHeight="1">
      <c r="D815" s="22"/>
    </row>
    <row r="816" spans="4:4" ht="12.75" customHeight="1">
      <c r="D816" s="22"/>
    </row>
    <row r="817" spans="4:4" ht="12.75" customHeight="1">
      <c r="D817" s="22"/>
    </row>
    <row r="818" spans="4:4" ht="12.75" customHeight="1">
      <c r="D818" s="22"/>
    </row>
    <row r="819" spans="4:4" ht="12.75" customHeight="1">
      <c r="D819" s="22"/>
    </row>
    <row r="820" spans="4:4" ht="12.75" customHeight="1">
      <c r="D820" s="22"/>
    </row>
    <row r="821" spans="4:4" ht="12.75" customHeight="1">
      <c r="D821" s="22"/>
    </row>
    <row r="822" spans="4:4" ht="12.75" customHeight="1">
      <c r="D822" s="22"/>
    </row>
    <row r="823" spans="4:4" ht="12.75" customHeight="1">
      <c r="D823" s="22"/>
    </row>
    <row r="824" spans="4:4" ht="12.75" customHeight="1">
      <c r="D824" s="22"/>
    </row>
    <row r="825" spans="4:4" ht="12.75" customHeight="1">
      <c r="D825" s="22"/>
    </row>
    <row r="826" spans="4:4" ht="12.75" customHeight="1">
      <c r="D826" s="22"/>
    </row>
    <row r="827" spans="4:4" ht="12.75" customHeight="1">
      <c r="D827" s="22"/>
    </row>
    <row r="828" spans="4:4" ht="12.75" customHeight="1">
      <c r="D828" s="22"/>
    </row>
    <row r="829" spans="4:4" ht="12.75" customHeight="1">
      <c r="D829" s="22"/>
    </row>
    <row r="830" spans="4:4" ht="12.75" customHeight="1">
      <c r="D830" s="22"/>
    </row>
    <row r="831" spans="4:4" ht="12.75" customHeight="1">
      <c r="D831" s="22"/>
    </row>
    <row r="832" spans="4:4" ht="12.75" customHeight="1">
      <c r="D832" s="22"/>
    </row>
    <row r="833" spans="4:4" ht="12.75" customHeight="1">
      <c r="D833" s="22"/>
    </row>
    <row r="834" spans="4:4" ht="12.75" customHeight="1">
      <c r="D834" s="22"/>
    </row>
    <row r="835" spans="4:4" ht="12.75" customHeight="1">
      <c r="D835" s="22"/>
    </row>
    <row r="836" spans="4:4" ht="12.75" customHeight="1">
      <c r="D836" s="22"/>
    </row>
    <row r="837" spans="4:4" ht="12.75" customHeight="1">
      <c r="D837" s="22"/>
    </row>
    <row r="838" spans="4:4" ht="12.75" customHeight="1">
      <c r="D838" s="22"/>
    </row>
    <row r="839" spans="4:4" ht="12.75" customHeight="1">
      <c r="D839" s="22"/>
    </row>
    <row r="840" spans="4:4" ht="12.75" customHeight="1">
      <c r="D840" s="22"/>
    </row>
    <row r="841" spans="4:4" ht="12.75" customHeight="1">
      <c r="D841" s="22"/>
    </row>
    <row r="842" spans="4:4" ht="12.75" customHeight="1">
      <c r="D842" s="22"/>
    </row>
    <row r="843" spans="4:4" ht="12.75" customHeight="1">
      <c r="D843" s="22"/>
    </row>
    <row r="844" spans="4:4" ht="12.75" customHeight="1">
      <c r="D844" s="22"/>
    </row>
    <row r="845" spans="4:4" ht="12.75" customHeight="1">
      <c r="D845" s="22"/>
    </row>
    <row r="846" spans="4:4" ht="12.75" customHeight="1">
      <c r="D846" s="22"/>
    </row>
    <row r="847" spans="4:4" ht="12.75" customHeight="1">
      <c r="D847" s="22"/>
    </row>
    <row r="848" spans="4:4" ht="12.75" customHeight="1">
      <c r="D848" s="22"/>
    </row>
    <row r="849" spans="4:4" ht="12.75" customHeight="1">
      <c r="D849" s="22"/>
    </row>
    <row r="850" spans="4:4" ht="12.75" customHeight="1">
      <c r="D850" s="22"/>
    </row>
    <row r="851" spans="4:4" ht="12.75" customHeight="1">
      <c r="D851" s="22"/>
    </row>
    <row r="852" spans="4:4" ht="12.75" customHeight="1">
      <c r="D852" s="22"/>
    </row>
    <row r="853" spans="4:4" ht="12.75" customHeight="1">
      <c r="D853" s="22"/>
    </row>
    <row r="854" spans="4:4" ht="12.75" customHeight="1">
      <c r="D854" s="22"/>
    </row>
    <row r="855" spans="4:4" ht="12.75" customHeight="1">
      <c r="D855" s="22"/>
    </row>
    <row r="856" spans="4:4" ht="12.75" customHeight="1">
      <c r="D856" s="22"/>
    </row>
    <row r="857" spans="4:4" ht="12.75" customHeight="1">
      <c r="D857" s="22"/>
    </row>
    <row r="858" spans="4:4" ht="12.75" customHeight="1">
      <c r="D858" s="22"/>
    </row>
    <row r="859" spans="4:4" ht="12.75" customHeight="1">
      <c r="D859" s="22"/>
    </row>
    <row r="860" spans="4:4" ht="12.75" customHeight="1">
      <c r="D860" s="22"/>
    </row>
    <row r="861" spans="4:4" ht="12.75" customHeight="1">
      <c r="D861" s="22"/>
    </row>
    <row r="862" spans="4:4" ht="12.75" customHeight="1">
      <c r="D862" s="22"/>
    </row>
    <row r="863" spans="4:4" ht="12.75" customHeight="1">
      <c r="D863" s="22"/>
    </row>
    <row r="864" spans="4:4" ht="12.75" customHeight="1">
      <c r="D864" s="22"/>
    </row>
    <row r="865" spans="4:4" ht="12.75" customHeight="1">
      <c r="D865" s="22"/>
    </row>
    <row r="866" spans="4:4" ht="12.75" customHeight="1">
      <c r="D866" s="22"/>
    </row>
    <row r="867" spans="4:4" ht="12.75" customHeight="1">
      <c r="D867" s="22"/>
    </row>
    <row r="868" spans="4:4" ht="12.75" customHeight="1">
      <c r="D868" s="22"/>
    </row>
    <row r="869" spans="4:4" ht="12.75" customHeight="1">
      <c r="D869" s="22"/>
    </row>
    <row r="870" spans="4:4" ht="12.75" customHeight="1">
      <c r="D870" s="22"/>
    </row>
    <row r="871" spans="4:4" ht="12.75" customHeight="1">
      <c r="D871" s="22"/>
    </row>
    <row r="872" spans="4:4" ht="12.75" customHeight="1">
      <c r="D872" s="22"/>
    </row>
    <row r="873" spans="4:4" ht="12.75" customHeight="1">
      <c r="D873" s="22"/>
    </row>
    <row r="874" spans="4:4" ht="12.75" customHeight="1">
      <c r="D874" s="22"/>
    </row>
    <row r="875" spans="4:4" ht="12.75" customHeight="1">
      <c r="D875" s="22"/>
    </row>
    <row r="876" spans="4:4" ht="12.75" customHeight="1">
      <c r="D876" s="22"/>
    </row>
    <row r="877" spans="4:4" ht="12.75" customHeight="1">
      <c r="D877" s="22"/>
    </row>
    <row r="878" spans="4:4" ht="12.75" customHeight="1">
      <c r="D878" s="22"/>
    </row>
    <row r="879" spans="4:4" ht="12.75" customHeight="1">
      <c r="D879" s="22"/>
    </row>
    <row r="880" spans="4:4" ht="12.75" customHeight="1">
      <c r="D880" s="22"/>
    </row>
    <row r="881" spans="4:4" ht="12.75" customHeight="1">
      <c r="D881" s="22"/>
    </row>
    <row r="882" spans="4:4" ht="12.75" customHeight="1">
      <c r="D882" s="22"/>
    </row>
    <row r="883" spans="4:4" ht="12.75" customHeight="1">
      <c r="D883" s="22"/>
    </row>
    <row r="884" spans="4:4" ht="12.75" customHeight="1">
      <c r="D884" s="22"/>
    </row>
    <row r="885" spans="4:4" ht="12.75" customHeight="1">
      <c r="D885" s="22"/>
    </row>
    <row r="886" spans="4:4" ht="12.75" customHeight="1">
      <c r="D886" s="22"/>
    </row>
    <row r="887" spans="4:4" ht="12.75" customHeight="1">
      <c r="D887" s="22"/>
    </row>
    <row r="888" spans="4:4" ht="12.75" customHeight="1">
      <c r="D888" s="22"/>
    </row>
    <row r="889" spans="4:4" ht="12.75" customHeight="1">
      <c r="D889" s="22"/>
    </row>
    <row r="890" spans="4:4" ht="12.75" customHeight="1">
      <c r="D890" s="22"/>
    </row>
    <row r="891" spans="4:4" ht="12.75" customHeight="1">
      <c r="D891" s="22"/>
    </row>
    <row r="892" spans="4:4" ht="12.75" customHeight="1">
      <c r="D892" s="22"/>
    </row>
    <row r="893" spans="4:4" ht="12.75" customHeight="1">
      <c r="D893" s="22"/>
    </row>
    <row r="894" spans="4:4" ht="12.75" customHeight="1">
      <c r="D894" s="22"/>
    </row>
    <row r="895" spans="4:4" ht="12.75" customHeight="1">
      <c r="D895" s="22"/>
    </row>
    <row r="896" spans="4:4" ht="12.75" customHeight="1">
      <c r="D896" s="22"/>
    </row>
    <row r="897" spans="4:4" ht="12.75" customHeight="1">
      <c r="D897" s="22"/>
    </row>
    <row r="898" spans="4:4" ht="12.75" customHeight="1">
      <c r="D898" s="22"/>
    </row>
    <row r="899" spans="4:4" ht="12.75" customHeight="1">
      <c r="D899" s="22"/>
    </row>
    <row r="900" spans="4:4" ht="12.75" customHeight="1">
      <c r="D900" s="22"/>
    </row>
    <row r="901" spans="4:4" ht="12.75" customHeight="1">
      <c r="D901" s="22"/>
    </row>
    <row r="902" spans="4:4" ht="12.75" customHeight="1">
      <c r="D902" s="22"/>
    </row>
    <row r="903" spans="4:4" ht="12.75" customHeight="1">
      <c r="D903" s="22"/>
    </row>
    <row r="904" spans="4:4" ht="12.75" customHeight="1">
      <c r="D904" s="22"/>
    </row>
    <row r="905" spans="4:4" ht="12.75" customHeight="1">
      <c r="D905" s="22"/>
    </row>
    <row r="906" spans="4:4" ht="12.75" customHeight="1">
      <c r="D906" s="22"/>
    </row>
    <row r="907" spans="4:4" ht="12.75" customHeight="1">
      <c r="D907" s="22"/>
    </row>
    <row r="908" spans="4:4" ht="12.75" customHeight="1">
      <c r="D908" s="22"/>
    </row>
    <row r="909" spans="4:4" ht="12.75" customHeight="1">
      <c r="D909" s="22"/>
    </row>
    <row r="910" spans="4:4" ht="12.75" customHeight="1">
      <c r="D910" s="22"/>
    </row>
    <row r="911" spans="4:4" ht="12.75" customHeight="1">
      <c r="D911" s="22"/>
    </row>
    <row r="912" spans="4:4" ht="12.75" customHeight="1">
      <c r="D912" s="22"/>
    </row>
    <row r="913" spans="4:4" ht="12.75" customHeight="1">
      <c r="D913" s="22"/>
    </row>
    <row r="914" spans="4:4" ht="12.75" customHeight="1">
      <c r="D914" s="22"/>
    </row>
    <row r="915" spans="4:4" ht="12.75" customHeight="1">
      <c r="D915" s="22"/>
    </row>
    <row r="916" spans="4:4" ht="12.75" customHeight="1">
      <c r="D916" s="22"/>
    </row>
    <row r="917" spans="4:4" ht="12.75" customHeight="1">
      <c r="D917" s="22"/>
    </row>
    <row r="918" spans="4:4" ht="12.75" customHeight="1">
      <c r="D918" s="22"/>
    </row>
    <row r="919" spans="4:4" ht="12.75" customHeight="1">
      <c r="D919" s="22"/>
    </row>
    <row r="920" spans="4:4" ht="12.75" customHeight="1">
      <c r="D920" s="22"/>
    </row>
    <row r="921" spans="4:4" ht="12.75" customHeight="1">
      <c r="D921" s="22"/>
    </row>
    <row r="922" spans="4:4" ht="12.75" customHeight="1">
      <c r="D922" s="22"/>
    </row>
    <row r="923" spans="4:4" ht="12.75" customHeight="1">
      <c r="D923" s="22"/>
    </row>
    <row r="924" spans="4:4" ht="12.75" customHeight="1">
      <c r="D924" s="22"/>
    </row>
    <row r="925" spans="4:4" ht="12.75" customHeight="1">
      <c r="D925" s="22"/>
    </row>
    <row r="926" spans="4:4" ht="12.75" customHeight="1">
      <c r="D926" s="22"/>
    </row>
    <row r="927" spans="4:4" ht="12.75" customHeight="1">
      <c r="D927" s="22"/>
    </row>
    <row r="928" spans="4:4" ht="12.75" customHeight="1">
      <c r="D928" s="22"/>
    </row>
    <row r="929" spans="4:4" ht="12.75" customHeight="1">
      <c r="D929" s="22"/>
    </row>
    <row r="930" spans="4:4" ht="12.75" customHeight="1">
      <c r="D930" s="22"/>
    </row>
    <row r="931" spans="4:4" ht="12.75" customHeight="1">
      <c r="D931" s="22"/>
    </row>
    <row r="932" spans="4:4" ht="12.75" customHeight="1">
      <c r="D932" s="22"/>
    </row>
    <row r="933" spans="4:4" ht="12.75" customHeight="1">
      <c r="D933" s="22"/>
    </row>
    <row r="934" spans="4:4" ht="12.75" customHeight="1">
      <c r="D934" s="22"/>
    </row>
    <row r="935" spans="4:4" ht="12.75" customHeight="1">
      <c r="D935" s="22"/>
    </row>
    <row r="936" spans="4:4" ht="12.75" customHeight="1">
      <c r="D936" s="22"/>
    </row>
    <row r="937" spans="4:4" ht="12.75" customHeight="1">
      <c r="D937" s="22"/>
    </row>
    <row r="938" spans="4:4" ht="12.75" customHeight="1">
      <c r="D938" s="22"/>
    </row>
    <row r="939" spans="4:4" ht="12.75" customHeight="1">
      <c r="D939" s="22"/>
    </row>
    <row r="940" spans="4:4" ht="12.75" customHeight="1">
      <c r="D940" s="22"/>
    </row>
    <row r="941" spans="4:4" ht="12.75" customHeight="1">
      <c r="D941" s="22"/>
    </row>
    <row r="942" spans="4:4" ht="12.75" customHeight="1">
      <c r="D942" s="22"/>
    </row>
    <row r="943" spans="4:4" ht="12.75" customHeight="1">
      <c r="D943" s="22"/>
    </row>
    <row r="944" spans="4:4" ht="12.75" customHeight="1">
      <c r="D944" s="22"/>
    </row>
    <row r="945" spans="4:4" ht="12.75" customHeight="1">
      <c r="D945" s="22"/>
    </row>
    <row r="946" spans="4:4" ht="12.75" customHeight="1">
      <c r="D946" s="22"/>
    </row>
    <row r="947" spans="4:4" ht="12.75" customHeight="1">
      <c r="D947" s="22"/>
    </row>
    <row r="948" spans="4:4" ht="12.75" customHeight="1">
      <c r="D948" s="22"/>
    </row>
    <row r="949" spans="4:4" ht="12.75" customHeight="1">
      <c r="D949" s="22"/>
    </row>
    <row r="950" spans="4:4" ht="12.75" customHeight="1">
      <c r="D950" s="22"/>
    </row>
    <row r="951" spans="4:4" ht="12.75" customHeight="1">
      <c r="D951" s="22"/>
    </row>
    <row r="952" spans="4:4" ht="12.75" customHeight="1">
      <c r="D952" s="22"/>
    </row>
    <row r="953" spans="4:4" ht="12.75" customHeight="1">
      <c r="D953" s="22"/>
    </row>
    <row r="954" spans="4:4" ht="12.75" customHeight="1">
      <c r="D954" s="22"/>
    </row>
    <row r="955" spans="4:4" ht="12.75" customHeight="1">
      <c r="D955" s="22"/>
    </row>
    <row r="956" spans="4:4" ht="12.75" customHeight="1">
      <c r="D956" s="22"/>
    </row>
    <row r="957" spans="4:4" ht="12.75" customHeight="1">
      <c r="D957" s="22"/>
    </row>
    <row r="958" spans="4:4" ht="12.75" customHeight="1">
      <c r="D958" s="22"/>
    </row>
    <row r="959" spans="4:4" ht="12.75" customHeight="1">
      <c r="D959" s="22"/>
    </row>
    <row r="960" spans="4:4" ht="12.75" customHeight="1">
      <c r="D960" s="22"/>
    </row>
    <row r="961" spans="4:4" ht="12.75" customHeight="1">
      <c r="D961" s="22"/>
    </row>
    <row r="962" spans="4:4" ht="12.75" customHeight="1">
      <c r="D962" s="22"/>
    </row>
    <row r="963" spans="4:4" ht="12.75" customHeight="1">
      <c r="D963" s="22"/>
    </row>
    <row r="964" spans="4:4" ht="12.75" customHeight="1">
      <c r="D964" s="22"/>
    </row>
    <row r="965" spans="4:4" ht="12.75" customHeight="1">
      <c r="D965" s="22"/>
    </row>
    <row r="966" spans="4:4" ht="12.75" customHeight="1">
      <c r="D966" s="22"/>
    </row>
    <row r="967" spans="4:4" ht="12.75" customHeight="1">
      <c r="D967" s="22"/>
    </row>
    <row r="968" spans="4:4" ht="12.75" customHeight="1">
      <c r="D968" s="22"/>
    </row>
    <row r="969" spans="4:4" ht="12.75" customHeight="1">
      <c r="D969" s="22"/>
    </row>
    <row r="970" spans="4:4" ht="12.75" customHeight="1">
      <c r="D970" s="22"/>
    </row>
    <row r="971" spans="4:4" ht="12.75" customHeight="1">
      <c r="D971" s="22"/>
    </row>
    <row r="972" spans="4:4" ht="12.75" customHeight="1">
      <c r="D972" s="22"/>
    </row>
    <row r="973" spans="4:4" ht="12.75" customHeight="1">
      <c r="D973" s="22"/>
    </row>
    <row r="974" spans="4:4" ht="12.75" customHeight="1">
      <c r="D974" s="22"/>
    </row>
    <row r="975" spans="4:4" ht="12.75" customHeight="1">
      <c r="D975" s="22"/>
    </row>
    <row r="976" spans="4:4" ht="12.75" customHeight="1">
      <c r="D976" s="22"/>
    </row>
    <row r="977" spans="4:4" ht="12.75" customHeight="1">
      <c r="D977" s="22"/>
    </row>
    <row r="978" spans="4:4" ht="12.75" customHeight="1">
      <c r="D978" s="22"/>
    </row>
    <row r="979" spans="4:4" ht="12.75" customHeight="1">
      <c r="D979" s="22"/>
    </row>
    <row r="980" spans="4:4" ht="12.75" customHeight="1">
      <c r="D980" s="22"/>
    </row>
    <row r="981" spans="4:4" ht="12.75" customHeight="1">
      <c r="D981" s="22"/>
    </row>
    <row r="982" spans="4:4" ht="12.75" customHeight="1">
      <c r="D982" s="22"/>
    </row>
    <row r="983" spans="4:4" ht="12.75" customHeight="1">
      <c r="D983" s="22"/>
    </row>
    <row r="984" spans="4:4" ht="12.75" customHeight="1">
      <c r="D984" s="22"/>
    </row>
    <row r="985" spans="4:4" ht="12.75" customHeight="1">
      <c r="D985" s="22"/>
    </row>
    <row r="986" spans="4:4" ht="12.75" customHeight="1">
      <c r="D986" s="22"/>
    </row>
    <row r="987" spans="4:4" ht="12.75" customHeight="1">
      <c r="D987" s="22"/>
    </row>
    <row r="988" spans="4:4" ht="12.75" customHeight="1">
      <c r="D988" s="22"/>
    </row>
    <row r="989" spans="4:4" ht="12.75" customHeight="1">
      <c r="D989" s="22"/>
    </row>
    <row r="990" spans="4:4" ht="12.75" customHeight="1">
      <c r="D990" s="22"/>
    </row>
    <row r="991" spans="4:4" ht="12.75" customHeight="1">
      <c r="D991" s="22"/>
    </row>
    <row r="992" spans="4:4" ht="12.75" customHeight="1">
      <c r="D992" s="22"/>
    </row>
    <row r="993" spans="4:4" ht="12.75" customHeight="1">
      <c r="D993" s="22"/>
    </row>
    <row r="994" spans="4:4" ht="12.75" customHeight="1">
      <c r="D994" s="22"/>
    </row>
    <row r="995" spans="4:4" ht="12.75" customHeight="1">
      <c r="D995" s="22"/>
    </row>
    <row r="996" spans="4:4" ht="12.75" customHeight="1">
      <c r="D996" s="22"/>
    </row>
    <row r="997" spans="4:4" ht="12.75" customHeight="1">
      <c r="D997" s="22"/>
    </row>
    <row r="998" spans="4:4" ht="12.75" customHeight="1">
      <c r="D998" s="22"/>
    </row>
    <row r="999" spans="4:4" ht="12.75" customHeight="1">
      <c r="D999" s="22"/>
    </row>
    <row r="1000" spans="4:4" ht="12.75" customHeight="1">
      <c r="D1000" s="22"/>
    </row>
  </sheetData>
  <mergeCells count="6">
    <mergeCell ref="I46:K46"/>
    <mergeCell ref="B2:J2"/>
    <mergeCell ref="B12:F12"/>
    <mergeCell ref="I12:L12"/>
    <mergeCell ref="B37:F37"/>
    <mergeCell ref="I37:L37"/>
  </mergeCells>
  <dataValidations count="7">
    <dataValidation type="list" allowBlank="1" showInputMessage="1" showErrorMessage="1" prompt=" - " sqref="C14">
      <formula1>"Commercial,Residential,Leasehold"</formula1>
    </dataValidation>
    <dataValidation type="list" allowBlank="1" showInputMessage="1" showErrorMessage="1" prompt=" - " sqref="I16:I34">
      <formula1>"Solicitor,Archetect,Surveyor,Engineer,Accountant,Business Support,Finance Arrangement Fees,Finance Marketing,Launch,Other Taxes,Other"</formula1>
    </dataValidation>
    <dataValidation type="list" allowBlank="1" showInputMessage="1" showErrorMessage="1" prompt=" - " sqref="C4">
      <formula1>"England or Northern Ireland,Scotland,Wales"</formula1>
    </dataValidation>
    <dataValidation type="list" allowBlank="1" showInputMessage="1" showErrorMessage="1" prompt=" - " sqref="B15:B34">
      <formula1>"Fixtures and Fittings,Vehicles,Machinery,Equipment,IT"</formula1>
    </dataValidation>
    <dataValidation type="list" allowBlank="1" showInputMessage="1" showErrorMessage="1" prompt=" - " sqref="L35 K16:K34">
      <formula1>"Plus VAT,VAT Exempt,Not registered"</formula1>
    </dataValidation>
    <dataValidation type="list" allowBlank="1" showInputMessage="1" showErrorMessage="1" prompt=" - " sqref="B39:B51">
      <formula1>"Staff Time,Market Research,Research and Development,Other"</formula1>
    </dataValidation>
    <dataValidation type="list" allowBlank="1" showInputMessage="1" showErrorMessage="1" prompt=" - " sqref="D4:D9">
      <formula1>"Land &amp; Buildings,Fixtures and Fittings,Vehicles,Machinery,Equipment,IT"</formula1>
    </dataValidation>
  </dataValidations>
  <pageMargins left="0.39370078740157483" right="0.39370078740157483" top="0.39370078740157483" bottom="0.39370078740157483" header="0" footer="0"/>
  <pageSetup scale="58" orientation="portrait" r:id="rId1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E66"/>
  <sheetViews>
    <sheetView tabSelected="1" workbookViewId="0">
      <selection activeCell="F23" sqref="F23"/>
    </sheetView>
  </sheetViews>
  <sheetFormatPr defaultRowHeight="12.75"/>
  <cols>
    <col min="3" max="3" width="16.28515625" customWidth="1"/>
    <col min="5" max="5" width="12.28515625" customWidth="1"/>
    <col min="6" max="6" width="10.42578125" customWidth="1"/>
    <col min="9" max="9" width="11.28515625" bestFit="1" customWidth="1"/>
    <col min="15" max="15" width="9.85546875" customWidth="1"/>
    <col min="19" max="19" width="9.7109375" bestFit="1" customWidth="1"/>
    <col min="22" max="22" width="9.42578125" bestFit="1" customWidth="1"/>
    <col min="45" max="45" width="10.140625" style="472" customWidth="1"/>
  </cols>
  <sheetData>
    <row r="1" spans="1:41" ht="13.5" thickBot="1">
      <c r="A1" s="181"/>
      <c r="B1" s="186" t="s">
        <v>234</v>
      </c>
      <c r="C1" s="187"/>
      <c r="D1" s="188"/>
      <c r="E1" s="146"/>
      <c r="F1" s="146"/>
      <c r="G1" s="146"/>
      <c r="H1" s="146"/>
      <c r="I1" s="182"/>
      <c r="J1" s="182"/>
      <c r="K1" s="182"/>
      <c r="L1" s="183"/>
      <c r="M1" s="182"/>
      <c r="N1" s="146"/>
      <c r="O1" s="146"/>
      <c r="P1" s="146"/>
      <c r="Q1" s="146"/>
      <c r="R1" s="146"/>
      <c r="S1" s="146"/>
      <c r="T1" s="184"/>
      <c r="U1" s="146"/>
      <c r="V1" s="146"/>
      <c r="W1" s="146"/>
      <c r="X1" s="146"/>
      <c r="Y1" s="182"/>
      <c r="Z1" s="182"/>
      <c r="AA1" s="182"/>
      <c r="AB1" s="182"/>
      <c r="AC1" s="146"/>
      <c r="AD1" s="182"/>
      <c r="AE1" s="182"/>
      <c r="AF1" s="182"/>
      <c r="AG1" s="146"/>
      <c r="AH1" s="146"/>
      <c r="AI1" s="146"/>
      <c r="AJ1" s="146"/>
      <c r="AK1" s="146"/>
      <c r="AL1" s="146"/>
      <c r="AM1" s="146"/>
      <c r="AN1" s="146"/>
      <c r="AO1" s="146"/>
    </row>
    <row r="2" spans="1:41" ht="13.5" thickBot="1">
      <c r="A2" s="185"/>
      <c r="B2" s="196" t="s">
        <v>237</v>
      </c>
      <c r="C2" s="197"/>
      <c r="D2" s="198">
        <v>150000</v>
      </c>
      <c r="E2" s="146"/>
      <c r="F2" s="146"/>
      <c r="G2" s="189" t="s">
        <v>235</v>
      </c>
      <c r="H2" s="190"/>
      <c r="I2" s="191">
        <v>1</v>
      </c>
      <c r="J2" s="189" t="s">
        <v>236</v>
      </c>
      <c r="K2" s="190"/>
      <c r="L2" s="191">
        <v>1</v>
      </c>
      <c r="M2" s="439"/>
      <c r="N2" s="439"/>
      <c r="O2" s="439"/>
      <c r="P2" s="439"/>
      <c r="Q2" s="186" t="s">
        <v>224</v>
      </c>
      <c r="R2" s="187"/>
      <c r="S2" s="194">
        <f>SUM(S3:S7)</f>
        <v>4.9999999999999996E-2</v>
      </c>
      <c r="T2" s="606"/>
      <c r="U2" s="439"/>
      <c r="V2" s="608"/>
      <c r="W2" s="439"/>
      <c r="X2" s="146"/>
      <c r="Y2" s="146"/>
      <c r="Z2" s="195"/>
      <c r="AA2" s="182"/>
      <c r="AB2" s="182"/>
      <c r="AC2" s="146"/>
      <c r="AD2" s="182"/>
      <c r="AE2" s="182"/>
      <c r="AF2" s="182"/>
      <c r="AG2" s="146"/>
      <c r="AH2" s="146"/>
      <c r="AI2" s="146"/>
      <c r="AJ2" s="146"/>
      <c r="AK2" s="146"/>
      <c r="AL2" s="146"/>
      <c r="AM2" s="146"/>
      <c r="AN2" s="146"/>
      <c r="AO2" s="146"/>
    </row>
    <row r="3" spans="1:41">
      <c r="A3" s="185"/>
      <c r="B3" s="210" t="s">
        <v>246</v>
      </c>
      <c r="C3" s="146"/>
      <c r="D3" s="415">
        <f>'Start Up Costs'!L13+'Start Up Costs'!L16</f>
        <v>9000</v>
      </c>
      <c r="E3" s="199" t="s">
        <v>238</v>
      </c>
      <c r="F3" s="146"/>
      <c r="G3" s="200" t="s">
        <v>239</v>
      </c>
      <c r="H3" s="201"/>
      <c r="I3" s="202">
        <f>D8*I2</f>
        <v>173450</v>
      </c>
      <c r="J3" s="200" t="s">
        <v>240</v>
      </c>
      <c r="K3" s="203"/>
      <c r="L3" s="198">
        <v>6000</v>
      </c>
      <c r="M3" s="440"/>
      <c r="N3" s="441"/>
      <c r="O3" s="436"/>
      <c r="P3" s="437"/>
      <c r="Q3" s="206" t="s">
        <v>243</v>
      </c>
      <c r="R3" s="207"/>
      <c r="S3" s="208">
        <v>0.02</v>
      </c>
      <c r="T3" s="440"/>
      <c r="U3" s="441"/>
      <c r="V3" s="607"/>
      <c r="W3" s="437"/>
      <c r="X3" s="146"/>
      <c r="Y3" s="146"/>
      <c r="Z3" s="209"/>
      <c r="AA3" s="146"/>
      <c r="AB3" s="146"/>
      <c r="AC3" s="146"/>
      <c r="AD3" s="146"/>
      <c r="AE3" s="182"/>
      <c r="AF3" s="182"/>
      <c r="AG3" s="146"/>
      <c r="AH3" s="146"/>
      <c r="AI3" s="146"/>
      <c r="AJ3" s="146"/>
      <c r="AK3" s="146"/>
      <c r="AL3" s="146"/>
      <c r="AM3" s="146"/>
      <c r="AN3" s="146"/>
      <c r="AO3" s="146"/>
    </row>
    <row r="4" spans="1:41" ht="13.5" thickBot="1">
      <c r="A4" s="185"/>
      <c r="B4" s="216" t="s">
        <v>218</v>
      </c>
      <c r="C4" s="217"/>
      <c r="D4" s="717">
        <v>5000</v>
      </c>
      <c r="E4" s="199" t="s">
        <v>247</v>
      </c>
      <c r="F4" s="146"/>
      <c r="G4" s="211" t="s">
        <v>248</v>
      </c>
      <c r="H4" s="212"/>
      <c r="I4" s="433">
        <f>'Community Shares'!C4</f>
        <v>0.03</v>
      </c>
      <c r="J4" s="213" t="s">
        <v>249</v>
      </c>
      <c r="K4" s="195"/>
      <c r="L4" s="214">
        <v>4.3499999999999996</v>
      </c>
      <c r="M4" s="442"/>
      <c r="N4" s="380"/>
      <c r="O4" s="443"/>
      <c r="P4" s="438"/>
      <c r="Q4" s="206" t="s">
        <v>250</v>
      </c>
      <c r="R4" s="207"/>
      <c r="S4" s="208">
        <v>0.01</v>
      </c>
      <c r="T4" s="442"/>
      <c r="U4" s="380"/>
      <c r="V4" s="607"/>
      <c r="W4" s="438"/>
      <c r="X4" s="146"/>
      <c r="Y4" s="146"/>
      <c r="Z4" s="209"/>
      <c r="AA4" s="146"/>
      <c r="AB4" s="146"/>
      <c r="AC4" s="146"/>
      <c r="AD4" s="146"/>
      <c r="AE4" s="182"/>
      <c r="AF4" s="182"/>
      <c r="AG4" s="146"/>
      <c r="AH4" s="146"/>
      <c r="AI4" s="146"/>
      <c r="AJ4" s="146"/>
      <c r="AK4" s="146"/>
      <c r="AL4" s="146"/>
      <c r="AM4" s="146"/>
      <c r="AN4" s="146"/>
      <c r="AO4" s="146"/>
    </row>
    <row r="5" spans="1:41" ht="13.5" thickBot="1">
      <c r="A5" s="185"/>
      <c r="B5" s="224" t="s">
        <v>253</v>
      </c>
      <c r="C5" s="225"/>
      <c r="D5" s="226">
        <f>SUM(D2:D4)</f>
        <v>164000</v>
      </c>
      <c r="E5" s="199"/>
      <c r="F5" s="146"/>
      <c r="G5" s="218" t="s">
        <v>2</v>
      </c>
      <c r="H5" s="219"/>
      <c r="I5" s="432">
        <f>'General Dashboard'!D4</f>
        <v>2.8000000000000001E-2</v>
      </c>
      <c r="J5" s="220" t="s">
        <v>251</v>
      </c>
      <c r="K5" s="221"/>
      <c r="L5" s="222">
        <v>250</v>
      </c>
      <c r="M5" s="444"/>
      <c r="N5" s="380"/>
      <c r="O5" s="443"/>
      <c r="P5" s="438"/>
      <c r="Q5" s="206" t="s">
        <v>252</v>
      </c>
      <c r="R5" s="207"/>
      <c r="S5" s="223">
        <v>5.0000000000000001E-3</v>
      </c>
      <c r="T5" s="444"/>
      <c r="U5" s="380"/>
      <c r="V5" s="607"/>
      <c r="W5" s="438"/>
      <c r="X5" s="146"/>
      <c r="Y5" s="146"/>
      <c r="Z5" s="209"/>
      <c r="AA5" s="146"/>
      <c r="AB5" s="146"/>
      <c r="AC5" s="146"/>
      <c r="AD5" s="146"/>
      <c r="AE5" s="182"/>
      <c r="AF5" s="182"/>
      <c r="AG5" s="146"/>
      <c r="AH5" s="146"/>
      <c r="AI5" s="146"/>
      <c r="AJ5" s="146"/>
      <c r="AK5" s="146"/>
      <c r="AL5" s="146"/>
      <c r="AM5" s="146"/>
      <c r="AN5" s="146"/>
      <c r="AO5" s="146"/>
    </row>
    <row r="6" spans="1:41" ht="13.5" thickBot="1">
      <c r="A6" s="185"/>
      <c r="B6" s="224" t="s">
        <v>367</v>
      </c>
      <c r="C6" s="225"/>
      <c r="D6" s="231">
        <f>D5*S2</f>
        <v>8200</v>
      </c>
      <c r="E6" s="146"/>
      <c r="F6" s="146"/>
      <c r="G6" s="227" t="s">
        <v>254</v>
      </c>
      <c r="H6" s="228"/>
      <c r="I6" s="431">
        <f>'General Dashboard'!D5</f>
        <v>2.5000000000000001E-2</v>
      </c>
      <c r="J6" s="220" t="s">
        <v>255</v>
      </c>
      <c r="K6" s="229"/>
      <c r="L6" s="230">
        <v>16000</v>
      </c>
      <c r="M6" s="444"/>
      <c r="N6" s="380"/>
      <c r="O6" s="443"/>
      <c r="P6" s="438"/>
      <c r="Q6" s="206" t="s">
        <v>256</v>
      </c>
      <c r="R6" s="207"/>
      <c r="S6" s="223">
        <v>0.01</v>
      </c>
      <c r="T6" s="444"/>
      <c r="U6" s="380"/>
      <c r="V6" s="607"/>
      <c r="W6" s="438"/>
      <c r="X6" s="146"/>
      <c r="Y6" s="146"/>
      <c r="Z6" s="209"/>
      <c r="AA6" s="146"/>
      <c r="AB6" s="146"/>
      <c r="AC6" s="146"/>
      <c r="AD6" s="146"/>
      <c r="AE6" s="182"/>
      <c r="AF6" s="182"/>
      <c r="AG6" s="146"/>
      <c r="AH6" s="146"/>
      <c r="AI6" s="146"/>
      <c r="AJ6" s="146"/>
      <c r="AK6" s="146"/>
      <c r="AL6" s="146"/>
      <c r="AM6" s="146"/>
      <c r="AN6" s="146"/>
      <c r="AO6" s="146"/>
    </row>
    <row r="7" spans="1:41" ht="13.5" thickBot="1">
      <c r="A7" s="185"/>
      <c r="B7" s="224" t="s">
        <v>366</v>
      </c>
      <c r="C7" s="225"/>
      <c r="D7" s="231">
        <f>S13</f>
        <v>1250</v>
      </c>
      <c r="E7" s="184" t="s">
        <v>230</v>
      </c>
      <c r="F7" s="184" t="s">
        <v>257</v>
      </c>
      <c r="G7" s="186" t="s">
        <v>258</v>
      </c>
      <c r="H7" s="232"/>
      <c r="I7" s="454">
        <f>'General Dashboard'!G5</f>
        <v>0.19</v>
      </c>
      <c r="J7" s="186" t="s">
        <v>259</v>
      </c>
      <c r="K7" s="232"/>
      <c r="L7" s="233">
        <v>0.03</v>
      </c>
      <c r="M7" s="445"/>
      <c r="N7" s="380"/>
      <c r="O7" s="446"/>
      <c r="P7" s="438"/>
      <c r="Q7" s="234" t="s">
        <v>260</v>
      </c>
      <c r="R7" s="235"/>
      <c r="S7" s="236">
        <v>5.0000000000000001E-3</v>
      </c>
      <c r="T7" s="445"/>
      <c r="U7" s="380"/>
      <c r="V7" s="441"/>
      <c r="W7" s="438"/>
      <c r="X7" s="146"/>
      <c r="Y7" s="146"/>
      <c r="Z7" s="146"/>
      <c r="AA7" s="182"/>
      <c r="AB7" s="182"/>
      <c r="AC7" s="146"/>
      <c r="AD7" s="182"/>
      <c r="AE7" s="182"/>
      <c r="AF7" s="182"/>
      <c r="AG7" s="146"/>
      <c r="AH7" s="146"/>
      <c r="AI7" s="146"/>
      <c r="AJ7" s="146"/>
      <c r="AK7" s="146"/>
      <c r="AL7" s="146"/>
      <c r="AM7" s="146"/>
      <c r="AN7" s="146"/>
      <c r="AO7" s="146"/>
    </row>
    <row r="8" spans="1:41" ht="13.5" thickBot="1">
      <c r="A8" s="185"/>
      <c r="B8" s="238" t="s">
        <v>261</v>
      </c>
      <c r="C8" s="225"/>
      <c r="D8" s="231">
        <f>SUM(D5:D7)</f>
        <v>173450</v>
      </c>
      <c r="E8" s="423" t="str">
        <f>'Start Up Costs'!C5</f>
        <v>Cardiff</v>
      </c>
      <c r="F8" s="239">
        <v>2</v>
      </c>
      <c r="G8" s="452"/>
      <c r="H8" s="392"/>
      <c r="I8" s="453"/>
      <c r="J8" s="186" t="s">
        <v>262</v>
      </c>
      <c r="K8" s="232"/>
      <c r="L8" s="233">
        <v>0.05</v>
      </c>
      <c r="M8" s="449"/>
      <c r="N8" s="380"/>
      <c r="O8" s="446"/>
      <c r="P8" s="438"/>
      <c r="Q8" s="186" t="s">
        <v>263</v>
      </c>
      <c r="R8" s="240"/>
      <c r="S8" s="241"/>
      <c r="T8" s="447"/>
      <c r="U8" s="380"/>
      <c r="V8" s="441"/>
      <c r="W8" s="438"/>
      <c r="X8" s="146"/>
      <c r="Y8" s="146"/>
      <c r="Z8" s="146"/>
      <c r="AA8" s="182"/>
      <c r="AB8" s="182"/>
      <c r="AC8" s="146"/>
      <c r="AD8" s="182"/>
      <c r="AE8" s="182"/>
      <c r="AF8" s="182"/>
      <c r="AG8" s="146"/>
      <c r="AH8" s="146"/>
      <c r="AI8" s="146"/>
      <c r="AJ8" s="146"/>
      <c r="AK8" s="146"/>
      <c r="AL8" s="146"/>
      <c r="AM8" s="146"/>
      <c r="AN8" s="146"/>
      <c r="AO8" s="146"/>
    </row>
    <row r="9" spans="1:41" ht="15.75" thickBot="1">
      <c r="A9" s="185"/>
      <c r="B9" s="211" t="s">
        <v>265</v>
      </c>
      <c r="C9" s="217"/>
      <c r="D9" s="243">
        <f>HLOOKUP(E8,H11:H16,F8+2)*52</f>
        <v>9872.7200000000012</v>
      </c>
      <c r="E9" s="244" t="s">
        <v>266</v>
      </c>
      <c r="F9" s="245" t="str">
        <f>"(£"&amp;D10*C23&amp;") pa"</f>
        <v>(£987.272) pa</v>
      </c>
      <c r="G9" s="246" t="s">
        <v>267</v>
      </c>
      <c r="H9" s="247"/>
      <c r="I9" s="247"/>
      <c r="J9" s="247"/>
      <c r="K9" s="248"/>
      <c r="L9" s="183"/>
      <c r="M9" s="448"/>
      <c r="N9" s="445"/>
      <c r="O9" s="448"/>
      <c r="P9" s="438"/>
      <c r="Q9" s="253" t="s">
        <v>332</v>
      </c>
      <c r="R9" s="146"/>
      <c r="S9" s="208">
        <v>7.0000000000000007E-2</v>
      </c>
      <c r="T9" s="448"/>
      <c r="U9" s="445"/>
      <c r="V9" s="441"/>
      <c r="W9" s="438"/>
      <c r="X9" s="182"/>
      <c r="Y9" s="146"/>
      <c r="Z9" s="146"/>
      <c r="AA9" s="182"/>
      <c r="AB9" s="182"/>
      <c r="AC9" s="146"/>
      <c r="AD9" s="182"/>
      <c r="AE9" s="182"/>
      <c r="AF9" s="182"/>
      <c r="AG9" s="146"/>
      <c r="AH9" s="146"/>
      <c r="AI9" s="146"/>
      <c r="AJ9" s="146"/>
      <c r="AK9" s="146"/>
      <c r="AL9" s="146"/>
      <c r="AM9" s="146"/>
      <c r="AN9" s="146"/>
      <c r="AO9" s="146"/>
    </row>
    <row r="10" spans="1:41" ht="15">
      <c r="A10" s="185"/>
      <c r="B10" s="196" t="s">
        <v>269</v>
      </c>
      <c r="C10" s="197"/>
      <c r="D10" s="254">
        <v>0.1</v>
      </c>
      <c r="E10" s="253" t="s">
        <v>270</v>
      </c>
      <c r="F10" s="255" t="str">
        <f>"(£"&amp;D11*C23&amp;") pa"</f>
        <v>(£493.636) pa</v>
      </c>
      <c r="G10" s="256" t="s">
        <v>271</v>
      </c>
      <c r="H10" s="176"/>
      <c r="I10" s="257" t="s">
        <v>272</v>
      </c>
      <c r="J10" s="176"/>
      <c r="K10" s="258"/>
      <c r="L10" s="183"/>
      <c r="M10" s="439"/>
      <c r="N10" s="439"/>
      <c r="O10" s="439"/>
      <c r="P10" s="439"/>
      <c r="Q10" s="206" t="s">
        <v>250</v>
      </c>
      <c r="R10" s="207"/>
      <c r="S10" s="208">
        <v>0.05</v>
      </c>
      <c r="T10" s="184"/>
      <c r="U10" s="260"/>
      <c r="V10" s="260"/>
      <c r="W10" s="146"/>
      <c r="X10" s="182"/>
      <c r="Y10" s="146"/>
      <c r="Z10" s="261"/>
      <c r="AA10" s="146"/>
      <c r="AB10" s="146"/>
      <c r="AC10" s="146"/>
      <c r="AD10" s="146"/>
      <c r="AE10" s="182"/>
      <c r="AF10" s="182"/>
      <c r="AG10" s="146"/>
      <c r="AH10" s="146"/>
      <c r="AI10" s="146"/>
      <c r="AJ10" s="146"/>
      <c r="AK10" s="146"/>
      <c r="AL10" s="146"/>
      <c r="AM10" s="146"/>
      <c r="AN10" s="146"/>
      <c r="AO10" s="146"/>
    </row>
    <row r="11" spans="1:41" ht="13.5" thickBot="1">
      <c r="A11" s="185"/>
      <c r="B11" s="210" t="s">
        <v>345</v>
      </c>
      <c r="C11" s="146"/>
      <c r="D11" s="262">
        <v>0.05</v>
      </c>
      <c r="E11" s="253" t="s">
        <v>270</v>
      </c>
      <c r="F11" s="255" t="str">
        <f>"(£"&amp;D12*C23&amp;") pa"</f>
        <v>(£987.272) pa</v>
      </c>
      <c r="G11" s="263"/>
      <c r="H11" s="718" t="s">
        <v>395</v>
      </c>
      <c r="I11" s="719" t="s">
        <v>394</v>
      </c>
      <c r="J11" s="720" t="s">
        <v>396</v>
      </c>
      <c r="K11" s="720"/>
      <c r="L11" s="721"/>
      <c r="M11" s="442"/>
      <c r="N11" s="380"/>
      <c r="O11" s="443"/>
      <c r="P11" s="438"/>
      <c r="Q11" s="234" t="s">
        <v>252</v>
      </c>
      <c r="R11" s="235"/>
      <c r="S11" s="265">
        <v>0.01</v>
      </c>
      <c r="T11" s="184"/>
      <c r="U11" s="260"/>
      <c r="V11" s="260"/>
      <c r="W11" s="146"/>
      <c r="X11" s="146"/>
      <c r="Y11" s="146"/>
      <c r="Z11" s="146"/>
      <c r="AA11" s="182"/>
      <c r="AB11" s="182"/>
      <c r="AC11" s="146"/>
      <c r="AD11" s="182"/>
      <c r="AE11" s="182"/>
      <c r="AF11" s="182"/>
      <c r="AG11" s="146"/>
      <c r="AH11" s="146"/>
      <c r="AI11" s="146"/>
      <c r="AJ11" s="146"/>
      <c r="AK11" s="146"/>
      <c r="AL11" s="146"/>
      <c r="AM11" s="146"/>
      <c r="AN11" s="146"/>
      <c r="AO11" s="146"/>
    </row>
    <row r="12" spans="1:41" ht="13.5" thickBot="1">
      <c r="A12" s="185"/>
      <c r="B12" s="210" t="s">
        <v>344</v>
      </c>
      <c r="C12" s="146"/>
      <c r="D12" s="262">
        <v>0.1</v>
      </c>
      <c r="E12" s="266" t="s">
        <v>266</v>
      </c>
      <c r="F12" s="255" t="str">
        <f>"(£"&amp;D12*C23&amp;") pa"</f>
        <v>(£987.272) pa</v>
      </c>
      <c r="G12" s="267" t="s">
        <v>257</v>
      </c>
      <c r="H12" s="268" t="s">
        <v>273</v>
      </c>
      <c r="I12" s="269"/>
      <c r="J12" s="270"/>
      <c r="K12" s="271"/>
      <c r="L12" s="183"/>
      <c r="M12" s="439"/>
      <c r="N12" s="439"/>
      <c r="O12" s="439"/>
      <c r="P12" s="439"/>
      <c r="Q12" s="186" t="s">
        <v>327</v>
      </c>
      <c r="R12" s="240"/>
      <c r="S12" s="241"/>
      <c r="T12" s="184"/>
      <c r="U12" s="146"/>
      <c r="V12" s="146" t="s">
        <v>274</v>
      </c>
      <c r="W12" s="146"/>
      <c r="X12" s="182"/>
      <c r="Y12" s="182"/>
      <c r="Z12" s="182"/>
      <c r="AA12" s="182"/>
      <c r="AB12" s="182"/>
      <c r="AC12" s="146"/>
      <c r="AD12" s="182"/>
      <c r="AE12" s="182"/>
      <c r="AF12" s="182"/>
      <c r="AG12" s="146"/>
      <c r="AH12" s="146"/>
      <c r="AI12" s="146"/>
      <c r="AJ12" s="146"/>
      <c r="AK12" s="146"/>
      <c r="AL12" s="146"/>
      <c r="AM12" s="146"/>
      <c r="AN12" s="146"/>
      <c r="AO12" s="146"/>
    </row>
    <row r="13" spans="1:41" ht="13.5" thickBot="1">
      <c r="A13" s="380"/>
      <c r="B13" s="253" t="s">
        <v>275</v>
      </c>
      <c r="C13" s="146"/>
      <c r="D13" s="273">
        <f>S9+S10+S11</f>
        <v>0.13</v>
      </c>
      <c r="E13" s="274" t="s">
        <v>276</v>
      </c>
      <c r="F13" s="275" t="str">
        <f>"(£"&amp;D14*D5&amp;") pa"</f>
        <v>(£820) pa</v>
      </c>
      <c r="G13" s="267">
        <v>1</v>
      </c>
      <c r="H13" s="276">
        <v>149.59</v>
      </c>
      <c r="I13" s="277"/>
      <c r="J13" s="278"/>
      <c r="K13" s="279"/>
      <c r="L13" s="183"/>
      <c r="M13" s="440"/>
      <c r="N13" s="441"/>
      <c r="O13" s="436"/>
      <c r="P13" s="437"/>
      <c r="Q13" s="535" t="s">
        <v>240</v>
      </c>
      <c r="R13" s="536"/>
      <c r="S13" s="537">
        <v>1250</v>
      </c>
      <c r="T13" s="282"/>
      <c r="U13" s="146"/>
      <c r="V13" s="146"/>
      <c r="W13" s="146"/>
      <c r="X13" s="283"/>
      <c r="Y13" s="182"/>
      <c r="Z13" s="182"/>
      <c r="AA13" s="182"/>
      <c r="AB13" s="182"/>
      <c r="AC13" s="146"/>
      <c r="AD13" s="182"/>
      <c r="AE13" s="182"/>
      <c r="AF13" s="182"/>
      <c r="AG13" s="146"/>
      <c r="AH13" s="146"/>
      <c r="AI13" s="146"/>
      <c r="AJ13" s="146"/>
      <c r="AK13" s="146"/>
      <c r="AL13" s="146"/>
      <c r="AM13" s="146"/>
      <c r="AN13" s="146"/>
      <c r="AO13" s="146"/>
    </row>
    <row r="14" spans="1:41" ht="13.5" thickBot="1">
      <c r="A14" s="380"/>
      <c r="B14" s="211" t="s">
        <v>277</v>
      </c>
      <c r="C14" s="217"/>
      <c r="D14" s="284">
        <v>5.0000000000000001E-3</v>
      </c>
      <c r="E14" s="274" t="s">
        <v>276</v>
      </c>
      <c r="F14" s="275" t="str">
        <f>"(£"&amp;D15*D5&amp;") pa"</f>
        <v>(£328) pa</v>
      </c>
      <c r="G14" s="267">
        <v>2</v>
      </c>
      <c r="H14" s="276">
        <v>189.86</v>
      </c>
      <c r="I14" s="277"/>
      <c r="J14" s="285"/>
      <c r="K14" s="286"/>
      <c r="L14" s="183"/>
      <c r="M14" s="442"/>
      <c r="N14" s="380"/>
      <c r="O14" s="443"/>
      <c r="P14" s="438"/>
      <c r="Q14" s="450"/>
      <c r="R14" s="451"/>
      <c r="S14" s="438"/>
      <c r="T14" s="184"/>
      <c r="U14" s="146"/>
      <c r="V14" s="260"/>
      <c r="W14" s="146"/>
      <c r="X14" s="146"/>
      <c r="Y14" s="146"/>
      <c r="Z14" s="146"/>
      <c r="AA14" s="182"/>
      <c r="AB14" s="182"/>
      <c r="AC14" s="146"/>
      <c r="AD14" s="182"/>
      <c r="AE14" s="182"/>
      <c r="AF14" s="182"/>
      <c r="AG14" s="146"/>
      <c r="AH14" s="146"/>
      <c r="AI14" s="146"/>
      <c r="AJ14" s="146"/>
      <c r="AK14" s="146"/>
      <c r="AL14" s="146"/>
      <c r="AM14" s="146"/>
      <c r="AN14" s="146"/>
      <c r="AO14" s="146"/>
    </row>
    <row r="15" spans="1:41" ht="13.5" thickBot="1">
      <c r="A15" s="380"/>
      <c r="B15" s="211" t="s">
        <v>278</v>
      </c>
      <c r="C15" s="217"/>
      <c r="D15" s="284">
        <v>2E-3</v>
      </c>
      <c r="E15" s="466"/>
      <c r="F15" s="264"/>
      <c r="G15" s="267">
        <v>3</v>
      </c>
      <c r="H15" s="276">
        <v>212.88</v>
      </c>
      <c r="I15" s="277"/>
      <c r="J15" s="278"/>
      <c r="K15" s="279"/>
      <c r="L15" s="183"/>
      <c r="M15" s="447"/>
      <c r="N15" s="380"/>
      <c r="O15" s="443"/>
      <c r="P15" s="438"/>
      <c r="Q15" s="450"/>
      <c r="R15" s="451"/>
      <c r="S15" s="438"/>
      <c r="T15" s="184"/>
      <c r="U15" s="272"/>
      <c r="V15" s="287"/>
      <c r="W15" s="146"/>
      <c r="X15" s="146"/>
      <c r="Y15" s="146"/>
      <c r="Z15" s="146"/>
      <c r="AA15" s="182"/>
      <c r="AB15" s="182"/>
      <c r="AC15" s="146"/>
      <c r="AD15" s="182"/>
      <c r="AE15" s="182"/>
      <c r="AF15" s="182"/>
      <c r="AG15" s="146"/>
      <c r="AH15" s="146"/>
      <c r="AI15" s="146"/>
      <c r="AJ15" s="146"/>
      <c r="AK15" s="182"/>
      <c r="AL15" s="146"/>
      <c r="AM15" s="146"/>
      <c r="AN15" s="146"/>
      <c r="AO15" s="146"/>
    </row>
    <row r="16" spans="1:41" ht="15.75" thickBot="1">
      <c r="A16" s="380"/>
      <c r="B16" s="211" t="s">
        <v>279</v>
      </c>
      <c r="C16" s="217"/>
      <c r="D16" s="288">
        <v>0.15</v>
      </c>
      <c r="E16" s="455" t="str">
        <f>"£"&amp;D16*D2&amp;" every"</f>
        <v>£22500 every</v>
      </c>
      <c r="F16" s="456">
        <v>10</v>
      </c>
      <c r="G16" s="467">
        <v>4</v>
      </c>
      <c r="H16" s="468">
        <v>299.18</v>
      </c>
      <c r="I16" s="469"/>
      <c r="J16" s="611"/>
      <c r="K16" s="289"/>
      <c r="L16" s="183"/>
      <c r="M16" s="448"/>
      <c r="N16" s="445"/>
      <c r="O16" s="448"/>
      <c r="P16" s="438"/>
      <c r="Q16" s="290" t="s">
        <v>280</v>
      </c>
      <c r="R16" s="146"/>
      <c r="S16" s="146"/>
      <c r="T16" s="184"/>
      <c r="U16" s="291"/>
      <c r="V16" s="146"/>
      <c r="W16" s="146"/>
      <c r="X16" s="146"/>
      <c r="Y16" s="182"/>
      <c r="Z16" s="182"/>
      <c r="AA16" s="182"/>
      <c r="AB16" s="182"/>
      <c r="AC16" s="146"/>
      <c r="AD16" s="182"/>
      <c r="AE16" s="182"/>
      <c r="AF16" s="182"/>
      <c r="AG16" s="146"/>
      <c r="AH16" s="146"/>
      <c r="AI16" s="146"/>
      <c r="AJ16" s="146"/>
      <c r="AK16" s="146"/>
      <c r="AL16" s="146"/>
      <c r="AM16" s="146"/>
      <c r="AN16" s="146"/>
      <c r="AO16" s="146"/>
    </row>
    <row r="17" spans="1:57" ht="15.75" thickBot="1">
      <c r="A17" s="185"/>
      <c r="B17" s="211" t="s">
        <v>281</v>
      </c>
      <c r="C17" s="217"/>
      <c r="D17" s="288">
        <v>0.5</v>
      </c>
      <c r="F17" s="465" t="str">
        <f>"Up to "&amp;D16/F16*100&amp;"%"</f>
        <v>Up to 1.5%</v>
      </c>
      <c r="G17" s="146" t="s">
        <v>282</v>
      </c>
      <c r="H17" s="146"/>
      <c r="I17" s="146"/>
      <c r="J17" s="146"/>
      <c r="K17" s="146"/>
      <c r="L17" s="183"/>
      <c r="M17" s="292" t="s">
        <v>283</v>
      </c>
      <c r="N17" s="146"/>
      <c r="O17" s="146"/>
      <c r="P17" s="146"/>
      <c r="Q17" s="146"/>
      <c r="R17" s="146"/>
      <c r="S17" s="146"/>
      <c r="T17" s="184"/>
      <c r="U17" s="146"/>
      <c r="V17" s="146"/>
      <c r="W17" s="146"/>
      <c r="X17" s="182"/>
      <c r="Y17" s="182"/>
      <c r="Z17" s="146"/>
      <c r="AA17" s="182"/>
      <c r="AB17" s="146"/>
      <c r="AC17" s="146"/>
      <c r="AD17" s="146"/>
      <c r="AE17" s="182"/>
      <c r="AF17" s="182"/>
      <c r="AG17" s="146"/>
      <c r="AH17" s="146"/>
      <c r="AI17" s="146"/>
      <c r="AJ17" s="146"/>
      <c r="AK17" s="146"/>
      <c r="AL17" s="146"/>
      <c r="AM17" s="146"/>
      <c r="AN17" s="146"/>
      <c r="AO17" s="146"/>
    </row>
    <row r="18" spans="1:57" ht="13.5" thickBot="1">
      <c r="A18" s="185"/>
      <c r="B18" s="238" t="s">
        <v>284</v>
      </c>
      <c r="C18" s="225"/>
      <c r="D18" s="293">
        <f>D17</f>
        <v>0.5</v>
      </c>
      <c r="E18" s="146"/>
      <c r="F18" s="146"/>
      <c r="G18" s="146"/>
      <c r="H18" s="146"/>
      <c r="I18" s="182"/>
      <c r="J18" s="182"/>
      <c r="K18" s="146"/>
      <c r="L18" s="183"/>
      <c r="M18" s="182"/>
      <c r="N18" s="146"/>
      <c r="O18" s="146"/>
      <c r="P18" s="146"/>
      <c r="Q18" s="146"/>
      <c r="R18" s="146"/>
      <c r="S18" s="146"/>
      <c r="T18" s="184"/>
      <c r="U18" s="146"/>
      <c r="V18" s="146"/>
      <c r="W18" s="183"/>
      <c r="X18" s="183"/>
      <c r="Y18" s="146"/>
      <c r="Z18" s="183"/>
      <c r="AA18" s="146"/>
      <c r="AB18" s="146"/>
      <c r="AC18" s="146"/>
      <c r="AD18" s="146"/>
      <c r="AE18" s="182"/>
      <c r="AF18" s="182"/>
      <c r="AG18" s="146"/>
      <c r="AH18" s="146"/>
      <c r="AI18" s="146"/>
      <c r="AJ18" s="146"/>
      <c r="AK18" s="146"/>
      <c r="AL18" s="146"/>
      <c r="AM18" s="146"/>
      <c r="AN18" s="146"/>
      <c r="AO18" s="146"/>
    </row>
    <row r="19" spans="1:57" ht="26.25" thickBot="1">
      <c r="A19" s="294" t="s">
        <v>285</v>
      </c>
      <c r="B19" s="295"/>
      <c r="C19" s="296" t="s">
        <v>286</v>
      </c>
      <c r="D19" s="297"/>
      <c r="E19" s="298" t="s">
        <v>287</v>
      </c>
      <c r="F19" s="299"/>
      <c r="G19" s="542"/>
      <c r="H19" s="306" t="s">
        <v>290</v>
      </c>
      <c r="I19" s="308"/>
      <c r="J19" s="308"/>
      <c r="K19" s="308"/>
      <c r="L19" s="308"/>
      <c r="M19" s="309"/>
      <c r="N19" s="309"/>
      <c r="O19" s="490" t="s">
        <v>341</v>
      </c>
      <c r="P19" s="310" t="s">
        <v>291</v>
      </c>
      <c r="Q19" s="311"/>
      <c r="R19" s="312"/>
      <c r="S19" s="573"/>
      <c r="T19" s="573"/>
      <c r="U19" s="574"/>
      <c r="V19" s="300" t="s">
        <v>288</v>
      </c>
      <c r="W19" s="301"/>
      <c r="X19" s="302"/>
      <c r="Y19" s="303"/>
      <c r="Z19" s="304"/>
      <c r="AA19" s="304"/>
      <c r="AB19" s="305"/>
      <c r="AC19" s="306" t="s">
        <v>289</v>
      </c>
      <c r="AD19" s="304"/>
      <c r="AE19" s="304"/>
      <c r="AF19" s="304"/>
      <c r="AG19" s="303"/>
      <c r="AH19" s="307"/>
      <c r="AI19" s="581"/>
      <c r="AJ19" s="582" t="s">
        <v>352</v>
      </c>
      <c r="AK19" s="583"/>
      <c r="AL19" s="584"/>
      <c r="AM19" s="313" t="s">
        <v>357</v>
      </c>
      <c r="AN19" s="314"/>
      <c r="AO19" s="314"/>
      <c r="AP19" s="313" t="s">
        <v>358</v>
      </c>
      <c r="AQ19" s="314"/>
      <c r="AR19" s="314"/>
      <c r="AS19" s="625" t="s">
        <v>292</v>
      </c>
      <c r="AT19" s="315"/>
      <c r="AU19" s="315"/>
      <c r="AV19" s="594"/>
      <c r="AW19" s="315"/>
      <c r="AX19" s="316"/>
      <c r="AY19" s="184"/>
      <c r="AZ19" s="146"/>
      <c r="BA19" s="146"/>
      <c r="BB19" s="146"/>
      <c r="BC19" s="146"/>
      <c r="BD19" s="146"/>
      <c r="BE19" s="146"/>
    </row>
    <row r="20" spans="1:57" ht="68.25" customHeight="1">
      <c r="A20" s="317"/>
      <c r="B20" s="318" t="s">
        <v>293</v>
      </c>
      <c r="C20" s="319" t="s">
        <v>294</v>
      </c>
      <c r="D20" s="320" t="s">
        <v>295</v>
      </c>
      <c r="E20" s="321" t="s">
        <v>296</v>
      </c>
      <c r="F20" s="322" t="s">
        <v>297</v>
      </c>
      <c r="G20" s="344" t="s">
        <v>342</v>
      </c>
      <c r="H20" s="330" t="s">
        <v>308</v>
      </c>
      <c r="I20" s="332" t="s">
        <v>309</v>
      </c>
      <c r="J20" s="330" t="s">
        <v>300</v>
      </c>
      <c r="K20" s="331" t="s">
        <v>301</v>
      </c>
      <c r="L20" s="332" t="s">
        <v>262</v>
      </c>
      <c r="M20" s="333" t="s">
        <v>310</v>
      </c>
      <c r="N20" s="333" t="s">
        <v>349</v>
      </c>
      <c r="O20" s="491" t="s">
        <v>359</v>
      </c>
      <c r="P20" s="334" t="s">
        <v>27</v>
      </c>
      <c r="Q20" s="335" t="s">
        <v>311</v>
      </c>
      <c r="R20" s="566" t="s">
        <v>312</v>
      </c>
      <c r="S20" s="564" t="s">
        <v>354</v>
      </c>
      <c r="T20" s="323" t="s">
        <v>351</v>
      </c>
      <c r="U20" s="575" t="s">
        <v>79</v>
      </c>
      <c r="V20" s="324" t="s">
        <v>356</v>
      </c>
      <c r="W20" s="325" t="s">
        <v>298</v>
      </c>
      <c r="X20" s="325" t="s">
        <v>299</v>
      </c>
      <c r="Y20" s="326" t="s">
        <v>281</v>
      </c>
      <c r="Z20" s="327" t="s">
        <v>300</v>
      </c>
      <c r="AA20" s="328" t="s">
        <v>301</v>
      </c>
      <c r="AB20" s="329" t="s">
        <v>302</v>
      </c>
      <c r="AC20" s="324" t="s">
        <v>303</v>
      </c>
      <c r="AD20" s="325" t="s">
        <v>298</v>
      </c>
      <c r="AE20" s="325" t="s">
        <v>304</v>
      </c>
      <c r="AF20" s="326" t="s">
        <v>305</v>
      </c>
      <c r="AG20" s="330" t="s">
        <v>306</v>
      </c>
      <c r="AH20" s="331" t="s">
        <v>307</v>
      </c>
      <c r="AI20" s="329" t="s">
        <v>368</v>
      </c>
      <c r="AJ20" s="579" t="s">
        <v>355</v>
      </c>
      <c r="AK20" s="580" t="s">
        <v>353</v>
      </c>
      <c r="AL20" s="336" t="s">
        <v>313</v>
      </c>
      <c r="AM20" s="337" t="s">
        <v>314</v>
      </c>
      <c r="AN20" s="338" t="s">
        <v>315</v>
      </c>
      <c r="AO20" s="338" t="s">
        <v>316</v>
      </c>
      <c r="AP20" s="339" t="s">
        <v>346</v>
      </c>
      <c r="AQ20" s="338" t="s">
        <v>347</v>
      </c>
      <c r="AR20" s="340" t="s">
        <v>348</v>
      </c>
      <c r="AS20" s="626" t="s">
        <v>369</v>
      </c>
      <c r="AT20" s="342" t="s">
        <v>318</v>
      </c>
      <c r="AU20" s="343" t="s">
        <v>319</v>
      </c>
      <c r="AV20" s="341" t="s">
        <v>317</v>
      </c>
      <c r="AW20" s="343" t="s">
        <v>320</v>
      </c>
      <c r="AX20" s="344" t="s">
        <v>321</v>
      </c>
      <c r="AY20" s="184"/>
      <c r="AZ20" s="185"/>
      <c r="BA20" s="185"/>
      <c r="BB20" s="185"/>
      <c r="BC20" s="185"/>
      <c r="BD20" s="185"/>
      <c r="BE20" s="185"/>
    </row>
    <row r="21" spans="1:57" ht="13.5" thickBot="1">
      <c r="A21" s="345" t="s">
        <v>177</v>
      </c>
      <c r="B21" s="346"/>
      <c r="C21" s="347"/>
      <c r="D21" s="500"/>
      <c r="E21" s="348"/>
      <c r="F21" s="489">
        <f>L7</f>
        <v>0.03</v>
      </c>
      <c r="G21" s="349"/>
      <c r="H21" s="504">
        <f>D15</f>
        <v>2E-3</v>
      </c>
      <c r="I21" s="501">
        <f>D13</f>
        <v>0.13</v>
      </c>
      <c r="J21" s="544"/>
      <c r="K21" s="502"/>
      <c r="L21" s="501">
        <f>L8</f>
        <v>0.05</v>
      </c>
      <c r="M21" s="502">
        <f>I4</f>
        <v>0.03</v>
      </c>
      <c r="N21" s="502" t="str">
        <f>J4</f>
        <v>Deduction per month</v>
      </c>
      <c r="O21" s="492"/>
      <c r="P21" s="354"/>
      <c r="Q21" s="355"/>
      <c r="R21" s="567"/>
      <c r="S21" s="565"/>
      <c r="T21" s="572"/>
      <c r="U21" s="576">
        <f>D8</f>
        <v>173450</v>
      </c>
      <c r="V21" s="350">
        <f>D10</f>
        <v>0.1</v>
      </c>
      <c r="W21" s="351">
        <f>L7</f>
        <v>0.03</v>
      </c>
      <c r="X21" s="351">
        <f>D14</f>
        <v>5.0000000000000001E-3</v>
      </c>
      <c r="Y21" s="352">
        <f>D17</f>
        <v>0.5</v>
      </c>
      <c r="Z21" s="501"/>
      <c r="AA21" s="502"/>
      <c r="AB21" s="503"/>
      <c r="AC21" s="350">
        <f>D16/F16</f>
        <v>1.4999999999999999E-2</v>
      </c>
      <c r="AD21" s="351">
        <f>L7</f>
        <v>0.03</v>
      </c>
      <c r="AE21" s="353"/>
      <c r="AF21" s="352">
        <f>D18</f>
        <v>0.5</v>
      </c>
      <c r="AG21" s="504"/>
      <c r="AH21" s="502"/>
      <c r="AI21" s="505"/>
      <c r="AJ21" s="506"/>
      <c r="AK21" s="578"/>
      <c r="AL21" s="356"/>
      <c r="AM21" s="507">
        <f>D11</f>
        <v>0.05</v>
      </c>
      <c r="AN21" s="508">
        <f>I4</f>
        <v>0.03</v>
      </c>
      <c r="AO21" s="508"/>
      <c r="AP21" s="509">
        <f>D12</f>
        <v>0.1</v>
      </c>
      <c r="AQ21" s="508">
        <f>I4</f>
        <v>0.03</v>
      </c>
      <c r="AR21" s="510"/>
      <c r="AS21" s="627"/>
      <c r="AT21" s="357"/>
      <c r="AU21" s="358"/>
      <c r="AV21" s="511"/>
      <c r="AW21" s="499"/>
      <c r="AX21" s="359"/>
      <c r="AY21" s="184" t="s">
        <v>177</v>
      </c>
      <c r="AZ21" s="185"/>
      <c r="BA21" s="185"/>
      <c r="BB21" s="185"/>
      <c r="BC21" s="185"/>
      <c r="BD21" s="185"/>
      <c r="BE21" s="185"/>
    </row>
    <row r="22" spans="1:57" s="478" customFormat="1" ht="13.5" thickBot="1">
      <c r="A22" s="512">
        <v>0</v>
      </c>
      <c r="B22" s="534">
        <f>D2</f>
        <v>150000</v>
      </c>
      <c r="C22" s="513"/>
      <c r="D22" s="423"/>
      <c r="E22" s="514"/>
      <c r="F22" s="516"/>
      <c r="G22" s="543"/>
      <c r="H22" s="545"/>
      <c r="I22" s="546"/>
      <c r="J22" s="546"/>
      <c r="K22" s="546"/>
      <c r="L22" s="546"/>
      <c r="M22" s="547"/>
      <c r="N22" s="526"/>
      <c r="O22" s="541">
        <f>D5</f>
        <v>164000</v>
      </c>
      <c r="P22" s="568"/>
      <c r="Q22" s="527"/>
      <c r="R22" s="569"/>
      <c r="S22" s="515"/>
      <c r="T22" s="573"/>
      <c r="U22" s="577">
        <f>U21-O22</f>
        <v>9450</v>
      </c>
      <c r="V22" s="623"/>
      <c r="W22" s="622"/>
      <c r="X22" s="622"/>
      <c r="Y22" s="624"/>
      <c r="Z22" s="520"/>
      <c r="AA22" s="520"/>
      <c r="AB22" s="521"/>
      <c r="AC22" s="517"/>
      <c r="AD22" s="518"/>
      <c r="AE22" s="522"/>
      <c r="AF22" s="519"/>
      <c r="AG22" s="523"/>
      <c r="AH22" s="520"/>
      <c r="AI22" s="524"/>
      <c r="AJ22" s="525"/>
      <c r="AK22" s="525"/>
      <c r="AL22" s="528"/>
      <c r="AM22" s="529"/>
      <c r="AN22" s="530"/>
      <c r="AO22" s="530"/>
      <c r="AP22" s="531"/>
      <c r="AQ22" s="530"/>
      <c r="AR22" s="498"/>
      <c r="AS22" s="628"/>
      <c r="AT22" s="497"/>
      <c r="AU22" s="532"/>
      <c r="AV22" s="538">
        <f>D8</f>
        <v>173450</v>
      </c>
      <c r="AW22" s="496"/>
      <c r="AX22" s="533"/>
      <c r="AY22" s="184"/>
      <c r="AZ22" s="185"/>
      <c r="BA22" s="185"/>
      <c r="BB22" s="185"/>
      <c r="BC22" s="185"/>
      <c r="BD22" s="185"/>
      <c r="BE22" s="185"/>
    </row>
    <row r="23" spans="1:57">
      <c r="A23" s="360">
        <v>1</v>
      </c>
      <c r="B23" s="182">
        <f>B22+D4</f>
        <v>155000</v>
      </c>
      <c r="C23" s="361">
        <f>D9</f>
        <v>9872.7200000000012</v>
      </c>
      <c r="D23" s="375">
        <f>AX21</f>
        <v>0</v>
      </c>
      <c r="E23" s="376">
        <f>C23-D23</f>
        <v>9872.7200000000012</v>
      </c>
      <c r="F23" s="377">
        <v>0</v>
      </c>
      <c r="G23" s="377">
        <f>E23+F23</f>
        <v>9872.7200000000012</v>
      </c>
      <c r="H23" s="365">
        <f t="shared" ref="H23:H62" si="0">B23*$D$15</f>
        <v>310</v>
      </c>
      <c r="I23" s="366">
        <f t="shared" ref="I23:I62" si="1">E23*$D$13</f>
        <v>1283.4536000000003</v>
      </c>
      <c r="J23" s="366">
        <f t="shared" ref="J23:J62" si="2">Z23+AG23</f>
        <v>387.5</v>
      </c>
      <c r="K23" s="366">
        <f t="shared" ref="K23:K62" si="3">AA23+AH23</f>
        <v>0</v>
      </c>
      <c r="L23" s="366">
        <f>IF(U21&lt;0,-U21*$L$21,0)</f>
        <v>0</v>
      </c>
      <c r="M23" s="369">
        <f t="shared" ref="M23:M62" si="4">AV21*$M$21</f>
        <v>0</v>
      </c>
      <c r="N23" s="369">
        <f>SUM(H23:M23)</f>
        <v>1980.9536000000003</v>
      </c>
      <c r="O23" s="493">
        <f>D6+D7</f>
        <v>9450</v>
      </c>
      <c r="P23" s="361">
        <f>G23-N23-O23</f>
        <v>-1558.2335999999996</v>
      </c>
      <c r="Q23" s="370">
        <f ca="1">Tax!H17</f>
        <v>0</v>
      </c>
      <c r="R23" s="570">
        <f ca="1">P23+Q23</f>
        <v>-1558.2335999999996</v>
      </c>
      <c r="S23" s="377">
        <f t="shared" ref="S23:S62" si="5">AM23</f>
        <v>493.63600000000008</v>
      </c>
      <c r="T23" s="378">
        <f t="shared" ref="T23:T62" si="6">AP23</f>
        <v>987.27200000000016</v>
      </c>
      <c r="U23" s="585">
        <f ca="1">U22+R23+S23+T23</f>
        <v>9372.6744000000017</v>
      </c>
      <c r="V23" s="362">
        <f t="shared" ref="V23:V62" si="7">E23*V$21</f>
        <v>987.27200000000016</v>
      </c>
      <c r="W23" s="363">
        <f>AB22*F$21</f>
        <v>0</v>
      </c>
      <c r="X23" s="363">
        <f t="shared" ref="X23:X62" si="8">B23*$D$14</f>
        <v>775</v>
      </c>
      <c r="Y23" s="364">
        <f t="shared" ref="Y23:Y62" si="9">X23*$Y$21</f>
        <v>387.5</v>
      </c>
      <c r="Z23" s="382">
        <f>IF(X23-Y23&lt;V23+W23+AB21,X23-Y23,V23+W23+AB21)</f>
        <v>387.5</v>
      </c>
      <c r="AA23" s="383">
        <f t="shared" ref="AA23:AA62" si="10">X23-Y23-Z23</f>
        <v>0</v>
      </c>
      <c r="AB23" s="367">
        <f>V23+W23-Z23+AB22</f>
        <v>599.77200000000016</v>
      </c>
      <c r="AC23" s="379">
        <f>IF(AL21&gt;0,IF(AL21&gt;B23*$AC$21,B23*$AC$21,AL21),0)</f>
        <v>0</v>
      </c>
      <c r="AD23" s="363">
        <f>AI22*M$21</f>
        <v>0</v>
      </c>
      <c r="AE23" s="380">
        <f t="shared" ref="AE23:AE62" si="11">IF((A23/$F$16-INT(A23/$F$16))=0,B23*$D$16,0)</f>
        <v>0</v>
      </c>
      <c r="AF23" s="381">
        <f t="shared" ref="AF23:AF62" si="12">AE23*$AF$21</f>
        <v>0</v>
      </c>
      <c r="AG23" s="382">
        <f>IF(AE23-AF23&gt;AI21+AC23,AI21+AC23,AE23-AF23)</f>
        <v>0</v>
      </c>
      <c r="AH23" s="383">
        <f t="shared" ref="AH23:AH62" si="13">AE23-AF23-AG23</f>
        <v>0</v>
      </c>
      <c r="AI23" s="367">
        <f>AC23+AD23-AG23+AI22</f>
        <v>0</v>
      </c>
      <c r="AJ23" s="588">
        <f t="shared" ref="AJ23:AJ37" ca="1" si="14">R23</f>
        <v>-1558.2335999999996</v>
      </c>
      <c r="AK23" s="368">
        <f t="shared" ref="AK23:AK62" si="15">AA23+AH23</f>
        <v>0</v>
      </c>
      <c r="AL23" s="589">
        <f ca="1">AL22+AJ23</f>
        <v>-1558.2335999999996</v>
      </c>
      <c r="AM23" s="388">
        <f t="shared" ref="AM23:AM62" si="16">C23*$D$11</f>
        <v>493.63600000000008</v>
      </c>
      <c r="AN23" s="389">
        <f>AO21*AN$21</f>
        <v>0</v>
      </c>
      <c r="AO23" s="390">
        <f>AM23+AN23+AO21</f>
        <v>493.63600000000008</v>
      </c>
      <c r="AP23" s="389">
        <f t="shared" ref="AP23:AP62" si="17">C23*$D$12</f>
        <v>987.27200000000016</v>
      </c>
      <c r="AQ23" s="389">
        <f>AR21*AQ$21</f>
        <v>0</v>
      </c>
      <c r="AR23" s="389">
        <f>AP23+AQ23+AR21</f>
        <v>987.27200000000016</v>
      </c>
      <c r="AS23" s="367">
        <f>IF((A23/$F$16-INT(A23/$F$16))=0,AB23+AI23,AB23)</f>
        <v>599.77200000000016</v>
      </c>
      <c r="AT23" s="372">
        <f t="shared" ref="AT23:AT62" si="18">AO23+AR23+AS23</f>
        <v>2080.6800000000003</v>
      </c>
      <c r="AU23" s="539">
        <f t="shared" ref="AU23:AU62" si="19">AT23/B23</f>
        <v>1.3423741935483872E-2</v>
      </c>
      <c r="AV23" s="371">
        <f>AV22</f>
        <v>173450</v>
      </c>
      <c r="AW23" s="371">
        <f t="shared" ref="AW23:AW62" si="20">$D$5-AT23</f>
        <v>161919.32</v>
      </c>
      <c r="AX23" s="540">
        <f>IF(AO23&gt;$L$6,0,IF(AO23&gt;$L$3,(AO23-$L$3)/$L$5*$L$4*12,0))</f>
        <v>0</v>
      </c>
      <c r="AY23" s="184">
        <v>1</v>
      </c>
      <c r="AZ23" s="146"/>
      <c r="BA23" s="146"/>
      <c r="BB23" s="146"/>
      <c r="BC23" s="146"/>
      <c r="BD23" s="146"/>
      <c r="BE23" s="146"/>
    </row>
    <row r="24" spans="1:57">
      <c r="A24" s="360">
        <f>A23+1</f>
        <v>2</v>
      </c>
      <c r="B24" s="182">
        <f t="shared" ref="B24:B62" si="21">B23*(1+$I$6)</f>
        <v>158875</v>
      </c>
      <c r="C24" s="361">
        <f t="shared" ref="C24:C62" si="22">C23*(1+$I$5)</f>
        <v>10149.156160000002</v>
      </c>
      <c r="D24" s="375">
        <f t="shared" ref="D24:D62" si="23">AX23</f>
        <v>0</v>
      </c>
      <c r="E24" s="376">
        <f>C24-D24</f>
        <v>10149.156160000002</v>
      </c>
      <c r="F24" s="377">
        <f t="shared" ref="F24:F62" ca="1" si="24">U23*$F$21</f>
        <v>281.18023200000005</v>
      </c>
      <c r="G24" s="377">
        <f t="shared" ref="G24:G62" ca="1" si="25">E24+F24</f>
        <v>10430.336392000003</v>
      </c>
      <c r="H24" s="382">
        <f t="shared" si="0"/>
        <v>317.75</v>
      </c>
      <c r="I24" s="383">
        <f t="shared" si="1"/>
        <v>1319.3903008000004</v>
      </c>
      <c r="J24" s="383">
        <f t="shared" ca="1" si="2"/>
        <v>397.1875</v>
      </c>
      <c r="K24" s="383">
        <f t="shared" ca="1" si="3"/>
        <v>0</v>
      </c>
      <c r="L24" s="383">
        <f t="shared" ref="L24:L62" si="26">IF(U22&lt;0,-U22*$L$21,0)</f>
        <v>0</v>
      </c>
      <c r="M24" s="386">
        <f t="shared" si="4"/>
        <v>5203.5</v>
      </c>
      <c r="N24" s="386">
        <f t="shared" ref="N24:N62" ca="1" si="27">SUM(H24:M24)</f>
        <v>7237.8278008000007</v>
      </c>
      <c r="O24" s="493"/>
      <c r="P24" s="361">
        <f ca="1">G24-N24-O24</f>
        <v>3192.5085912000022</v>
      </c>
      <c r="Q24" s="370">
        <f ca="1">Tax!I17</f>
        <v>0</v>
      </c>
      <c r="R24" s="570">
        <f t="shared" ref="R24:R62" ca="1" si="28">P24+Q24</f>
        <v>3192.5085912000022</v>
      </c>
      <c r="S24" s="377">
        <f t="shared" si="5"/>
        <v>507.45780800000011</v>
      </c>
      <c r="T24" s="378">
        <f t="shared" si="6"/>
        <v>1014.9156160000002</v>
      </c>
      <c r="U24" s="586">
        <f t="shared" ref="U24:U62" ca="1" si="29">U23+G24-N24-O24+Q24+S24+T24</f>
        <v>14087.556415200002</v>
      </c>
      <c r="V24" s="379">
        <f t="shared" si="7"/>
        <v>1014.9156160000002</v>
      </c>
      <c r="W24" s="380">
        <f t="shared" ref="W24:W62" si="30">AB23*F$21</f>
        <v>17.993160000000003</v>
      </c>
      <c r="X24" s="380">
        <f t="shared" si="8"/>
        <v>794.375</v>
      </c>
      <c r="Y24" s="381">
        <f t="shared" si="9"/>
        <v>397.1875</v>
      </c>
      <c r="Z24" s="382">
        <f t="shared" ref="Z24:Z62" si="31">IF(X24-Y24&lt;V24+W24+AB23,X24-Y24,V24+W24+AB23)</f>
        <v>397.1875</v>
      </c>
      <c r="AA24" s="383">
        <f t="shared" si="10"/>
        <v>0</v>
      </c>
      <c r="AB24" s="384">
        <f t="shared" ref="AB24:AB62" si="32">V24+W24-Z24+AB23</f>
        <v>1235.4932760000004</v>
      </c>
      <c r="AC24" s="379">
        <f t="shared" ref="AC24:AC62" ca="1" si="33">IF(AL23&gt;0,IF(AL23&gt;B24*$AC$21,B24*$AC$21,AL23),0)</f>
        <v>0</v>
      </c>
      <c r="AD24" s="380">
        <f t="shared" ref="AD24:AD62" si="34">AI23*M$21</f>
        <v>0</v>
      </c>
      <c r="AE24" s="380">
        <f t="shared" si="11"/>
        <v>0</v>
      </c>
      <c r="AF24" s="381">
        <f t="shared" si="12"/>
        <v>0</v>
      </c>
      <c r="AG24" s="382">
        <f t="shared" ref="AG24:AG62" ca="1" si="35">IF(AE24-AF24&gt;AI23+AC24,AI23+AC24,AE24-AF24)</f>
        <v>0</v>
      </c>
      <c r="AH24" s="383">
        <f t="shared" ca="1" si="13"/>
        <v>0</v>
      </c>
      <c r="AI24" s="384">
        <f t="shared" ref="AI24:AI62" ca="1" si="36">AC24+AD24-AG24+AI23</f>
        <v>0</v>
      </c>
      <c r="AJ24" s="590">
        <f t="shared" ca="1" si="14"/>
        <v>3192.5085912000022</v>
      </c>
      <c r="AK24" s="385">
        <f t="shared" ca="1" si="15"/>
        <v>0</v>
      </c>
      <c r="AL24" s="591">
        <f t="shared" ref="AL24:AL62" ca="1" si="37">AL23+AJ24</f>
        <v>1634.2749912000027</v>
      </c>
      <c r="AM24" s="388">
        <f t="shared" si="16"/>
        <v>507.45780800000011</v>
      </c>
      <c r="AN24" s="389">
        <f t="shared" ref="AN24:AN62" si="38">AO23*AN$21</f>
        <v>14.809080000000002</v>
      </c>
      <c r="AO24" s="390">
        <f t="shared" ref="AO24:AO62" si="39">AM24+AN24+AO23</f>
        <v>1015.9028880000002</v>
      </c>
      <c r="AP24" s="389">
        <f t="shared" si="17"/>
        <v>1014.9156160000002</v>
      </c>
      <c r="AQ24" s="389">
        <f t="shared" ref="AQ24:AQ62" si="40">AR23*AQ$21</f>
        <v>29.618160000000003</v>
      </c>
      <c r="AR24" s="389">
        <f t="shared" ref="AR24:AR62" si="41">AP24+AQ24+AR23</f>
        <v>2031.8057760000004</v>
      </c>
      <c r="AS24" s="384">
        <f t="shared" ref="AS24:AS62" si="42">IF((A24/$F$16-INT(A24/$F$16))=0,AB24+AI24,AB24)</f>
        <v>1235.4932760000004</v>
      </c>
      <c r="AT24" s="390">
        <f t="shared" si="18"/>
        <v>4283.2019400000008</v>
      </c>
      <c r="AU24" s="373">
        <f t="shared" si="19"/>
        <v>2.695957161290323E-2</v>
      </c>
      <c r="AV24" s="387">
        <f t="shared" ref="AV24:AV62" si="43">AV23</f>
        <v>173450</v>
      </c>
      <c r="AW24" s="387">
        <f t="shared" si="20"/>
        <v>159716.79806</v>
      </c>
      <c r="AX24" s="374">
        <f t="shared" ref="AX24:AX62" si="44">IF(AO24&gt;$L$6,0,IF(AO24&gt;$L$3,(AO24-$L$3)/$L$5*$L$4*12,0))</f>
        <v>0</v>
      </c>
      <c r="AY24" s="184">
        <f>AY23+1</f>
        <v>2</v>
      </c>
      <c r="AZ24" s="146"/>
      <c r="BA24" s="146"/>
      <c r="BB24" s="146"/>
      <c r="BC24" s="146"/>
      <c r="BD24" s="146"/>
      <c r="BE24" s="146"/>
    </row>
    <row r="25" spans="1:57">
      <c r="A25" s="360">
        <f t="shared" ref="A25:A62" si="45">A24+1</f>
        <v>3</v>
      </c>
      <c r="B25" s="182">
        <f t="shared" si="21"/>
        <v>162846.875</v>
      </c>
      <c r="C25" s="361">
        <f t="shared" si="22"/>
        <v>10433.332532480003</v>
      </c>
      <c r="D25" s="375">
        <f t="shared" si="23"/>
        <v>0</v>
      </c>
      <c r="E25" s="376">
        <f t="shared" ref="E25:E62" si="46">C25-D25</f>
        <v>10433.332532480003</v>
      </c>
      <c r="F25" s="377">
        <f t="shared" ca="1" si="24"/>
        <v>422.62669245600006</v>
      </c>
      <c r="G25" s="377">
        <f t="shared" ca="1" si="25"/>
        <v>10855.959224936003</v>
      </c>
      <c r="H25" s="382">
        <f t="shared" si="0"/>
        <v>325.69375000000002</v>
      </c>
      <c r="I25" s="383">
        <f t="shared" si="1"/>
        <v>1356.3332292224004</v>
      </c>
      <c r="J25" s="383">
        <f t="shared" ca="1" si="2"/>
        <v>407.1171875</v>
      </c>
      <c r="K25" s="383">
        <f t="shared" ca="1" si="3"/>
        <v>0</v>
      </c>
      <c r="L25" s="383">
        <f t="shared" ca="1" si="26"/>
        <v>0</v>
      </c>
      <c r="M25" s="386">
        <f t="shared" si="4"/>
        <v>5203.5</v>
      </c>
      <c r="N25" s="386">
        <f t="shared" ca="1" si="27"/>
        <v>7292.6441667224008</v>
      </c>
      <c r="O25" s="493"/>
      <c r="P25" s="361">
        <f t="shared" ref="P25:P62" ca="1" si="47">G25-N25-O25</f>
        <v>3563.3150582136022</v>
      </c>
      <c r="Q25" s="370">
        <f ca="1">Tax!J17</f>
        <v>0</v>
      </c>
      <c r="R25" s="570">
        <f t="shared" ca="1" si="28"/>
        <v>3563.3150582136022</v>
      </c>
      <c r="S25" s="377">
        <f t="shared" si="5"/>
        <v>521.66662662400017</v>
      </c>
      <c r="T25" s="378">
        <f t="shared" si="6"/>
        <v>1043.3332532480003</v>
      </c>
      <c r="U25" s="586">
        <f t="shared" ca="1" si="29"/>
        <v>19215.871353285609</v>
      </c>
      <c r="V25" s="379">
        <f t="shared" si="7"/>
        <v>1043.3332532480003</v>
      </c>
      <c r="W25" s="380">
        <f t="shared" si="30"/>
        <v>37.064798280000012</v>
      </c>
      <c r="X25" s="380">
        <f t="shared" si="8"/>
        <v>814.234375</v>
      </c>
      <c r="Y25" s="381">
        <f t="shared" si="9"/>
        <v>407.1171875</v>
      </c>
      <c r="Z25" s="382">
        <f t="shared" si="31"/>
        <v>407.1171875</v>
      </c>
      <c r="AA25" s="383">
        <f t="shared" si="10"/>
        <v>0</v>
      </c>
      <c r="AB25" s="384">
        <f t="shared" si="32"/>
        <v>1908.7741400280008</v>
      </c>
      <c r="AC25" s="379">
        <f t="shared" ca="1" si="33"/>
        <v>1634.2749912000027</v>
      </c>
      <c r="AD25" s="380">
        <f t="shared" ca="1" si="34"/>
        <v>0</v>
      </c>
      <c r="AE25" s="380">
        <f t="shared" si="11"/>
        <v>0</v>
      </c>
      <c r="AF25" s="381">
        <f t="shared" si="12"/>
        <v>0</v>
      </c>
      <c r="AG25" s="382">
        <f t="shared" ca="1" si="35"/>
        <v>0</v>
      </c>
      <c r="AH25" s="383">
        <f t="shared" ca="1" si="13"/>
        <v>0</v>
      </c>
      <c r="AI25" s="384">
        <f t="shared" ca="1" si="36"/>
        <v>1634.2749912000027</v>
      </c>
      <c r="AJ25" s="590">
        <f t="shared" ca="1" si="14"/>
        <v>3563.3150582136022</v>
      </c>
      <c r="AK25" s="385">
        <f t="shared" ca="1" si="15"/>
        <v>0</v>
      </c>
      <c r="AL25" s="591">
        <f t="shared" ca="1" si="37"/>
        <v>5197.5900494136049</v>
      </c>
      <c r="AM25" s="388">
        <f t="shared" si="16"/>
        <v>521.66662662400017</v>
      </c>
      <c r="AN25" s="389">
        <f t="shared" si="38"/>
        <v>30.477086640000003</v>
      </c>
      <c r="AO25" s="390">
        <f t="shared" si="39"/>
        <v>1568.0466012640004</v>
      </c>
      <c r="AP25" s="389">
        <f t="shared" si="17"/>
        <v>1043.3332532480003</v>
      </c>
      <c r="AQ25" s="389">
        <f t="shared" si="40"/>
        <v>60.954173280000006</v>
      </c>
      <c r="AR25" s="389">
        <f t="shared" si="41"/>
        <v>3136.0932025280008</v>
      </c>
      <c r="AS25" s="384">
        <f t="shared" si="42"/>
        <v>1908.7741400280008</v>
      </c>
      <c r="AT25" s="390">
        <f t="shared" si="18"/>
        <v>6612.9139438200018</v>
      </c>
      <c r="AU25" s="373">
        <f t="shared" si="19"/>
        <v>4.0608172209752269E-2</v>
      </c>
      <c r="AV25" s="387">
        <f t="shared" si="43"/>
        <v>173450</v>
      </c>
      <c r="AW25" s="387">
        <f t="shared" si="20"/>
        <v>157387.08605618001</v>
      </c>
      <c r="AX25" s="374">
        <f t="shared" si="44"/>
        <v>0</v>
      </c>
      <c r="AY25" s="184">
        <f t="shared" ref="AY25:AY61" si="48">AY24+1</f>
        <v>3</v>
      </c>
      <c r="AZ25" s="146"/>
      <c r="BA25" s="146"/>
      <c r="BB25" s="146"/>
      <c r="BC25" s="146"/>
      <c r="BD25" s="146"/>
      <c r="BE25" s="146"/>
    </row>
    <row r="26" spans="1:57">
      <c r="A26" s="360">
        <f t="shared" si="45"/>
        <v>4</v>
      </c>
      <c r="B26" s="182">
        <f t="shared" si="21"/>
        <v>166918.046875</v>
      </c>
      <c r="C26" s="361">
        <f t="shared" si="22"/>
        <v>10725.465843389444</v>
      </c>
      <c r="D26" s="375">
        <f t="shared" si="23"/>
        <v>0</v>
      </c>
      <c r="E26" s="376">
        <f t="shared" si="46"/>
        <v>10725.465843389444</v>
      </c>
      <c r="F26" s="377">
        <f t="shared" ca="1" si="24"/>
        <v>576.47614059856824</v>
      </c>
      <c r="G26" s="377">
        <f t="shared" ca="1" si="25"/>
        <v>11301.941983988012</v>
      </c>
      <c r="H26" s="382">
        <f t="shared" si="0"/>
        <v>333.83609375000003</v>
      </c>
      <c r="I26" s="383">
        <f t="shared" si="1"/>
        <v>1394.3105596406278</v>
      </c>
      <c r="J26" s="383">
        <f t="shared" ca="1" si="2"/>
        <v>417.29511718750001</v>
      </c>
      <c r="K26" s="383">
        <f t="shared" ca="1" si="3"/>
        <v>0</v>
      </c>
      <c r="L26" s="383">
        <f t="shared" ca="1" si="26"/>
        <v>0</v>
      </c>
      <c r="M26" s="386">
        <f t="shared" si="4"/>
        <v>5203.5</v>
      </c>
      <c r="N26" s="386">
        <f t="shared" ca="1" si="27"/>
        <v>7348.9417705781279</v>
      </c>
      <c r="O26" s="493"/>
      <c r="P26" s="361">
        <f t="shared" ca="1" si="47"/>
        <v>3953.0002134098841</v>
      </c>
      <c r="Q26" s="370">
        <f ca="1">Tax!K17</f>
        <v>0</v>
      </c>
      <c r="R26" s="570">
        <f t="shared" ca="1" si="28"/>
        <v>3953.0002134098841</v>
      </c>
      <c r="S26" s="377">
        <f t="shared" si="5"/>
        <v>536.27329216947226</v>
      </c>
      <c r="T26" s="378">
        <f t="shared" si="6"/>
        <v>1072.5465843389445</v>
      </c>
      <c r="U26" s="586">
        <f t="shared" ca="1" si="29"/>
        <v>24777.691443203908</v>
      </c>
      <c r="V26" s="379">
        <f t="shared" si="7"/>
        <v>1072.5465843389445</v>
      </c>
      <c r="W26" s="380">
        <f t="shared" si="30"/>
        <v>57.263224200840021</v>
      </c>
      <c r="X26" s="380">
        <f t="shared" si="8"/>
        <v>834.59023437500002</v>
      </c>
      <c r="Y26" s="381">
        <f t="shared" si="9"/>
        <v>417.29511718750001</v>
      </c>
      <c r="Z26" s="382">
        <f t="shared" si="31"/>
        <v>417.29511718750001</v>
      </c>
      <c r="AA26" s="383">
        <f t="shared" si="10"/>
        <v>0</v>
      </c>
      <c r="AB26" s="384">
        <f t="shared" si="32"/>
        <v>2621.2888313802855</v>
      </c>
      <c r="AC26" s="379">
        <f t="shared" ca="1" si="33"/>
        <v>2503.7707031249997</v>
      </c>
      <c r="AD26" s="380">
        <f t="shared" ca="1" si="34"/>
        <v>49.028249736000078</v>
      </c>
      <c r="AE26" s="380">
        <f t="shared" si="11"/>
        <v>0</v>
      </c>
      <c r="AF26" s="381">
        <f t="shared" si="12"/>
        <v>0</v>
      </c>
      <c r="AG26" s="382">
        <f t="shared" ca="1" si="35"/>
        <v>0</v>
      </c>
      <c r="AH26" s="383">
        <f t="shared" ca="1" si="13"/>
        <v>0</v>
      </c>
      <c r="AI26" s="384">
        <f t="shared" ca="1" si="36"/>
        <v>4187.0739440610023</v>
      </c>
      <c r="AJ26" s="590">
        <f t="shared" ca="1" si="14"/>
        <v>3953.0002134098841</v>
      </c>
      <c r="AK26" s="385">
        <f t="shared" ca="1" si="15"/>
        <v>0</v>
      </c>
      <c r="AL26" s="591">
        <f t="shared" ca="1" si="37"/>
        <v>9150.590262823489</v>
      </c>
      <c r="AM26" s="388">
        <f t="shared" si="16"/>
        <v>536.27329216947226</v>
      </c>
      <c r="AN26" s="389">
        <f t="shared" si="38"/>
        <v>47.041398037920011</v>
      </c>
      <c r="AO26" s="390">
        <f t="shared" si="39"/>
        <v>2151.3612914713926</v>
      </c>
      <c r="AP26" s="389">
        <f t="shared" si="17"/>
        <v>1072.5465843389445</v>
      </c>
      <c r="AQ26" s="389">
        <f t="shared" si="40"/>
        <v>94.082796075840022</v>
      </c>
      <c r="AR26" s="389">
        <f t="shared" si="41"/>
        <v>4302.7225829427853</v>
      </c>
      <c r="AS26" s="384">
        <f t="shared" si="42"/>
        <v>2621.2888313802855</v>
      </c>
      <c r="AT26" s="390">
        <f t="shared" si="18"/>
        <v>9075.3727057944634</v>
      </c>
      <c r="AU26" s="373">
        <f t="shared" si="19"/>
        <v>5.437023063534132E-2</v>
      </c>
      <c r="AV26" s="387">
        <f t="shared" si="43"/>
        <v>173450</v>
      </c>
      <c r="AW26" s="387">
        <f t="shared" si="20"/>
        <v>154924.62729420554</v>
      </c>
      <c r="AX26" s="374">
        <f t="shared" si="44"/>
        <v>0</v>
      </c>
      <c r="AY26" s="184">
        <f t="shared" si="48"/>
        <v>4</v>
      </c>
      <c r="AZ26" s="146"/>
      <c r="BA26" s="146"/>
      <c r="BB26" s="146"/>
      <c r="BC26" s="146"/>
      <c r="BD26" s="146"/>
      <c r="BE26" s="146"/>
    </row>
    <row r="27" spans="1:57">
      <c r="A27" s="360">
        <f t="shared" si="45"/>
        <v>5</v>
      </c>
      <c r="B27" s="182">
        <f t="shared" si="21"/>
        <v>171090.99804687497</v>
      </c>
      <c r="C27" s="361">
        <f t="shared" si="22"/>
        <v>11025.778887004348</v>
      </c>
      <c r="D27" s="375">
        <f t="shared" si="23"/>
        <v>0</v>
      </c>
      <c r="E27" s="376">
        <f t="shared" si="46"/>
        <v>11025.778887004348</v>
      </c>
      <c r="F27" s="377">
        <f t="shared" ca="1" si="24"/>
        <v>743.33074329611725</v>
      </c>
      <c r="G27" s="377">
        <f t="shared" ca="1" si="25"/>
        <v>11769.109630300465</v>
      </c>
      <c r="H27" s="382">
        <f t="shared" si="0"/>
        <v>342.18199609374994</v>
      </c>
      <c r="I27" s="383">
        <f t="shared" si="1"/>
        <v>1433.3512553105652</v>
      </c>
      <c r="J27" s="383">
        <f t="shared" ca="1" si="2"/>
        <v>427.72749511718746</v>
      </c>
      <c r="K27" s="383">
        <f t="shared" ca="1" si="3"/>
        <v>0</v>
      </c>
      <c r="L27" s="383">
        <f t="shared" ca="1" si="26"/>
        <v>0</v>
      </c>
      <c r="M27" s="386">
        <f t="shared" si="4"/>
        <v>5203.5</v>
      </c>
      <c r="N27" s="386">
        <f t="shared" ca="1" si="27"/>
        <v>7406.7607465215024</v>
      </c>
      <c r="O27" s="493"/>
      <c r="P27" s="361">
        <f t="shared" ca="1" si="47"/>
        <v>4362.3488837789628</v>
      </c>
      <c r="Q27" s="370">
        <f ca="1">Tax!L17</f>
        <v>-34.125104521132378</v>
      </c>
      <c r="R27" s="570">
        <f t="shared" ca="1" si="28"/>
        <v>4328.2237792578308</v>
      </c>
      <c r="S27" s="377">
        <f t="shared" si="5"/>
        <v>551.28894435021743</v>
      </c>
      <c r="T27" s="378">
        <f t="shared" si="6"/>
        <v>1102.5778887004349</v>
      </c>
      <c r="U27" s="586">
        <f t="shared" ca="1" si="29"/>
        <v>30759.782055512387</v>
      </c>
      <c r="V27" s="379">
        <f t="shared" si="7"/>
        <v>1102.5778887004349</v>
      </c>
      <c r="W27" s="380">
        <f t="shared" si="30"/>
        <v>78.638664941408564</v>
      </c>
      <c r="X27" s="380">
        <f t="shared" si="8"/>
        <v>855.45499023437492</v>
      </c>
      <c r="Y27" s="381">
        <f t="shared" si="9"/>
        <v>427.72749511718746</v>
      </c>
      <c r="Z27" s="382">
        <f t="shared" si="31"/>
        <v>427.72749511718746</v>
      </c>
      <c r="AA27" s="383">
        <f t="shared" si="10"/>
        <v>0</v>
      </c>
      <c r="AB27" s="384">
        <f t="shared" si="32"/>
        <v>3374.7778899049413</v>
      </c>
      <c r="AC27" s="379">
        <f t="shared" ca="1" si="33"/>
        <v>2566.3649707031245</v>
      </c>
      <c r="AD27" s="380">
        <f t="shared" ca="1" si="34"/>
        <v>125.61221832183007</v>
      </c>
      <c r="AE27" s="380">
        <f t="shared" si="11"/>
        <v>0</v>
      </c>
      <c r="AF27" s="381">
        <f t="shared" si="12"/>
        <v>0</v>
      </c>
      <c r="AG27" s="382">
        <f t="shared" ca="1" si="35"/>
        <v>0</v>
      </c>
      <c r="AH27" s="383">
        <f t="shared" ca="1" si="13"/>
        <v>0</v>
      </c>
      <c r="AI27" s="384">
        <f t="shared" ca="1" si="36"/>
        <v>6879.0511330859572</v>
      </c>
      <c r="AJ27" s="590">
        <f t="shared" ca="1" si="14"/>
        <v>4328.2237792578308</v>
      </c>
      <c r="AK27" s="385">
        <f t="shared" ca="1" si="15"/>
        <v>0</v>
      </c>
      <c r="AL27" s="591">
        <f t="shared" ca="1" si="37"/>
        <v>13478.81404208132</v>
      </c>
      <c r="AM27" s="388">
        <f t="shared" si="16"/>
        <v>551.28894435021743</v>
      </c>
      <c r="AN27" s="389">
        <f t="shared" si="38"/>
        <v>64.54083874414178</v>
      </c>
      <c r="AO27" s="390">
        <f t="shared" si="39"/>
        <v>2767.1910745657519</v>
      </c>
      <c r="AP27" s="389">
        <f t="shared" si="17"/>
        <v>1102.5778887004349</v>
      </c>
      <c r="AQ27" s="389">
        <f t="shared" si="40"/>
        <v>129.08167748828356</v>
      </c>
      <c r="AR27" s="389">
        <f t="shared" si="41"/>
        <v>5534.3821491315039</v>
      </c>
      <c r="AS27" s="384">
        <f t="shared" si="42"/>
        <v>3374.7778899049413</v>
      </c>
      <c r="AT27" s="390">
        <f t="shared" si="18"/>
        <v>11676.351113602197</v>
      </c>
      <c r="AU27" s="373">
        <f t="shared" si="19"/>
        <v>6.8246437550169334E-2</v>
      </c>
      <c r="AV27" s="387">
        <f t="shared" si="43"/>
        <v>173450</v>
      </c>
      <c r="AW27" s="387">
        <f t="shared" si="20"/>
        <v>152323.6488863978</v>
      </c>
      <c r="AX27" s="374">
        <f t="shared" si="44"/>
        <v>0</v>
      </c>
      <c r="AY27" s="184">
        <f t="shared" si="48"/>
        <v>5</v>
      </c>
      <c r="AZ27" s="146"/>
      <c r="BA27" s="146"/>
      <c r="BB27" s="146"/>
      <c r="BC27" s="146"/>
      <c r="BD27" s="146"/>
      <c r="BE27" s="146"/>
    </row>
    <row r="28" spans="1:57">
      <c r="A28" s="360">
        <f t="shared" si="45"/>
        <v>6</v>
      </c>
      <c r="B28" s="182">
        <f t="shared" si="21"/>
        <v>175368.27299804683</v>
      </c>
      <c r="C28" s="361">
        <f t="shared" si="22"/>
        <v>11334.50069584047</v>
      </c>
      <c r="D28" s="375">
        <f t="shared" si="23"/>
        <v>0</v>
      </c>
      <c r="E28" s="376">
        <f t="shared" si="46"/>
        <v>11334.50069584047</v>
      </c>
      <c r="F28" s="377">
        <f t="shared" ca="1" si="24"/>
        <v>922.79346166537152</v>
      </c>
      <c r="G28" s="377">
        <f t="shared" ca="1" si="25"/>
        <v>12257.294157505841</v>
      </c>
      <c r="H28" s="382">
        <f t="shared" si="0"/>
        <v>350.73654599609364</v>
      </c>
      <c r="I28" s="383">
        <f t="shared" si="1"/>
        <v>1473.4850904592611</v>
      </c>
      <c r="J28" s="383">
        <f t="shared" ca="1" si="2"/>
        <v>438.42068249511709</v>
      </c>
      <c r="K28" s="383">
        <f t="shared" ca="1" si="3"/>
        <v>0</v>
      </c>
      <c r="L28" s="383">
        <f t="shared" ca="1" si="26"/>
        <v>0</v>
      </c>
      <c r="M28" s="386">
        <f t="shared" si="4"/>
        <v>5203.5</v>
      </c>
      <c r="N28" s="386">
        <f t="shared" ca="1" si="27"/>
        <v>7466.1423189504712</v>
      </c>
      <c r="O28" s="493"/>
      <c r="P28" s="361">
        <f t="shared" ca="1" si="47"/>
        <v>4791.15183855537</v>
      </c>
      <c r="Q28" s="370">
        <f ca="1">Tax!M17</f>
        <v>-593.65218265885358</v>
      </c>
      <c r="R28" s="570">
        <f t="shared" ca="1" si="28"/>
        <v>4197.4996558965167</v>
      </c>
      <c r="S28" s="377">
        <f t="shared" si="5"/>
        <v>566.72503479202351</v>
      </c>
      <c r="T28" s="378">
        <f t="shared" si="6"/>
        <v>1133.450069584047</v>
      </c>
      <c r="U28" s="586">
        <f t="shared" ca="1" si="29"/>
        <v>36657.456815784979</v>
      </c>
      <c r="V28" s="379">
        <f t="shared" si="7"/>
        <v>1133.450069584047</v>
      </c>
      <c r="W28" s="380">
        <f t="shared" si="30"/>
        <v>101.24333669714824</v>
      </c>
      <c r="X28" s="380">
        <f t="shared" si="8"/>
        <v>876.84136499023418</v>
      </c>
      <c r="Y28" s="381">
        <f t="shared" si="9"/>
        <v>438.42068249511709</v>
      </c>
      <c r="Z28" s="382">
        <f t="shared" si="31"/>
        <v>438.42068249511709</v>
      </c>
      <c r="AA28" s="383">
        <f t="shared" si="10"/>
        <v>0</v>
      </c>
      <c r="AB28" s="384">
        <f t="shared" si="32"/>
        <v>4171.050613691019</v>
      </c>
      <c r="AC28" s="379">
        <f t="shared" ca="1" si="33"/>
        <v>2630.5240949707022</v>
      </c>
      <c r="AD28" s="380">
        <f t="shared" ca="1" si="34"/>
        <v>206.37153399257872</v>
      </c>
      <c r="AE28" s="380">
        <f t="shared" si="11"/>
        <v>0</v>
      </c>
      <c r="AF28" s="381">
        <f t="shared" si="12"/>
        <v>0</v>
      </c>
      <c r="AG28" s="382">
        <f t="shared" ca="1" si="35"/>
        <v>0</v>
      </c>
      <c r="AH28" s="383">
        <f t="shared" ca="1" si="13"/>
        <v>0</v>
      </c>
      <c r="AI28" s="384">
        <f t="shared" ca="1" si="36"/>
        <v>9715.9467620492378</v>
      </c>
      <c r="AJ28" s="590">
        <f t="shared" ca="1" si="14"/>
        <v>4197.4996558965167</v>
      </c>
      <c r="AK28" s="385">
        <f t="shared" ca="1" si="15"/>
        <v>0</v>
      </c>
      <c r="AL28" s="591">
        <f t="shared" ca="1" si="37"/>
        <v>17676.313697977836</v>
      </c>
      <c r="AM28" s="388">
        <f t="shared" si="16"/>
        <v>566.72503479202351</v>
      </c>
      <c r="AN28" s="389">
        <f t="shared" si="38"/>
        <v>83.015732236972553</v>
      </c>
      <c r="AO28" s="390">
        <f t="shared" si="39"/>
        <v>3416.9318415947482</v>
      </c>
      <c r="AP28" s="389">
        <f t="shared" si="17"/>
        <v>1133.450069584047</v>
      </c>
      <c r="AQ28" s="389">
        <f t="shared" si="40"/>
        <v>166.03146447394511</v>
      </c>
      <c r="AR28" s="389">
        <f t="shared" si="41"/>
        <v>6833.8636831894964</v>
      </c>
      <c r="AS28" s="384">
        <f t="shared" si="42"/>
        <v>4171.050613691019</v>
      </c>
      <c r="AT28" s="390">
        <f t="shared" si="18"/>
        <v>14421.846138475263</v>
      </c>
      <c r="AU28" s="373">
        <f t="shared" si="19"/>
        <v>8.2237487385394312E-2</v>
      </c>
      <c r="AV28" s="387">
        <f t="shared" si="43"/>
        <v>173450</v>
      </c>
      <c r="AW28" s="387">
        <f t="shared" si="20"/>
        <v>149578.15386152474</v>
      </c>
      <c r="AX28" s="374">
        <f t="shared" si="44"/>
        <v>0</v>
      </c>
      <c r="AY28" s="184">
        <f t="shared" si="48"/>
        <v>6</v>
      </c>
      <c r="AZ28" s="146"/>
      <c r="BA28" s="146"/>
      <c r="BB28" s="146"/>
      <c r="BC28" s="146"/>
      <c r="BD28" s="146"/>
      <c r="BE28" s="146"/>
    </row>
    <row r="29" spans="1:57">
      <c r="A29" s="360">
        <f t="shared" si="45"/>
        <v>7</v>
      </c>
      <c r="B29" s="182">
        <f t="shared" si="21"/>
        <v>179752.47982299799</v>
      </c>
      <c r="C29" s="361">
        <f t="shared" si="22"/>
        <v>11651.866715324004</v>
      </c>
      <c r="D29" s="375">
        <f t="shared" si="23"/>
        <v>0</v>
      </c>
      <c r="E29" s="376">
        <f t="shared" si="46"/>
        <v>11651.866715324004</v>
      </c>
      <c r="F29" s="377">
        <f t="shared" ca="1" si="24"/>
        <v>1099.7237044735493</v>
      </c>
      <c r="G29" s="377">
        <f t="shared" ca="1" si="25"/>
        <v>12751.590419797554</v>
      </c>
      <c r="H29" s="382">
        <f t="shared" si="0"/>
        <v>359.504959645996</v>
      </c>
      <c r="I29" s="383">
        <f t="shared" si="1"/>
        <v>1514.7426729921206</v>
      </c>
      <c r="J29" s="383">
        <f t="shared" ca="1" si="2"/>
        <v>449.38119955749499</v>
      </c>
      <c r="K29" s="383">
        <f t="shared" ca="1" si="3"/>
        <v>0</v>
      </c>
      <c r="L29" s="383">
        <f t="shared" ca="1" si="26"/>
        <v>0</v>
      </c>
      <c r="M29" s="386">
        <f t="shared" si="4"/>
        <v>5203.5</v>
      </c>
      <c r="N29" s="386">
        <f t="shared" ca="1" si="27"/>
        <v>7527.1288321956117</v>
      </c>
      <c r="O29" s="493"/>
      <c r="P29" s="361">
        <f t="shared" ca="1" si="47"/>
        <v>5224.4615876019425</v>
      </c>
      <c r="Q29" s="370">
        <f ca="1">Tax!N17</f>
        <v>-675.98103497770239</v>
      </c>
      <c r="R29" s="570">
        <f t="shared" ca="1" si="28"/>
        <v>4548.4805526242399</v>
      </c>
      <c r="S29" s="377">
        <f t="shared" si="5"/>
        <v>582.5933357662002</v>
      </c>
      <c r="T29" s="378">
        <f t="shared" si="6"/>
        <v>1165.1866715324004</v>
      </c>
      <c r="U29" s="586">
        <f t="shared" ca="1" si="29"/>
        <v>42953.71737570782</v>
      </c>
      <c r="V29" s="379">
        <f t="shared" si="7"/>
        <v>1165.1866715324004</v>
      </c>
      <c r="W29" s="380">
        <f t="shared" si="30"/>
        <v>125.13151841073056</v>
      </c>
      <c r="X29" s="380">
        <f t="shared" si="8"/>
        <v>898.76239911498999</v>
      </c>
      <c r="Y29" s="381">
        <f t="shared" si="9"/>
        <v>449.38119955749499</v>
      </c>
      <c r="Z29" s="382">
        <f t="shared" si="31"/>
        <v>449.38119955749499</v>
      </c>
      <c r="AA29" s="383">
        <f t="shared" si="10"/>
        <v>0</v>
      </c>
      <c r="AB29" s="384">
        <f t="shared" si="32"/>
        <v>5011.9876040766549</v>
      </c>
      <c r="AC29" s="379">
        <f t="shared" ca="1" si="33"/>
        <v>2696.2871973449696</v>
      </c>
      <c r="AD29" s="380">
        <f t="shared" ca="1" si="34"/>
        <v>291.47840286147715</v>
      </c>
      <c r="AE29" s="380">
        <f t="shared" si="11"/>
        <v>0</v>
      </c>
      <c r="AF29" s="381">
        <f t="shared" si="12"/>
        <v>0</v>
      </c>
      <c r="AG29" s="382">
        <f t="shared" ca="1" si="35"/>
        <v>0</v>
      </c>
      <c r="AH29" s="383">
        <f t="shared" ca="1" si="13"/>
        <v>0</v>
      </c>
      <c r="AI29" s="384">
        <f t="shared" ca="1" si="36"/>
        <v>12703.712362255685</v>
      </c>
      <c r="AJ29" s="590">
        <f t="shared" ca="1" si="14"/>
        <v>4548.4805526242399</v>
      </c>
      <c r="AK29" s="385">
        <f t="shared" ca="1" si="15"/>
        <v>0</v>
      </c>
      <c r="AL29" s="591">
        <f t="shared" ca="1" si="37"/>
        <v>22224.794250602077</v>
      </c>
      <c r="AM29" s="388">
        <f t="shared" si="16"/>
        <v>582.5933357662002</v>
      </c>
      <c r="AN29" s="389">
        <f t="shared" si="38"/>
        <v>102.50795524784245</v>
      </c>
      <c r="AO29" s="390">
        <f t="shared" si="39"/>
        <v>4102.0331326087908</v>
      </c>
      <c r="AP29" s="389">
        <f t="shared" si="17"/>
        <v>1165.1866715324004</v>
      </c>
      <c r="AQ29" s="389">
        <f t="shared" si="40"/>
        <v>205.01591049568489</v>
      </c>
      <c r="AR29" s="389">
        <f t="shared" si="41"/>
        <v>8204.0662652175815</v>
      </c>
      <c r="AS29" s="384">
        <f t="shared" si="42"/>
        <v>5011.9876040766549</v>
      </c>
      <c r="AT29" s="390">
        <f t="shared" si="18"/>
        <v>17318.087001903026</v>
      </c>
      <c r="AU29" s="373">
        <f t="shared" si="19"/>
        <v>9.6344078362402136E-2</v>
      </c>
      <c r="AV29" s="387">
        <f t="shared" si="43"/>
        <v>173450</v>
      </c>
      <c r="AW29" s="387">
        <f t="shared" si="20"/>
        <v>146681.91299809696</v>
      </c>
      <c r="AX29" s="374">
        <f t="shared" si="44"/>
        <v>0</v>
      </c>
      <c r="AY29" s="184">
        <f t="shared" si="48"/>
        <v>7</v>
      </c>
      <c r="AZ29" s="146"/>
      <c r="BA29" s="146"/>
      <c r="BB29" s="146"/>
      <c r="BC29" s="146"/>
      <c r="BD29" s="146"/>
      <c r="BE29" s="146"/>
    </row>
    <row r="30" spans="1:57">
      <c r="A30" s="360">
        <f t="shared" si="45"/>
        <v>8</v>
      </c>
      <c r="B30" s="182">
        <f t="shared" si="21"/>
        <v>184246.29181857294</v>
      </c>
      <c r="C30" s="361">
        <f t="shared" si="22"/>
        <v>11978.118983353077</v>
      </c>
      <c r="D30" s="375">
        <f t="shared" si="23"/>
        <v>0</v>
      </c>
      <c r="E30" s="376">
        <f t="shared" si="46"/>
        <v>11978.118983353077</v>
      </c>
      <c r="F30" s="377">
        <f t="shared" ca="1" si="24"/>
        <v>1288.6115212712346</v>
      </c>
      <c r="G30" s="377">
        <f t="shared" ca="1" si="25"/>
        <v>13266.730504624311</v>
      </c>
      <c r="H30" s="382">
        <f t="shared" si="0"/>
        <v>368.49258363714586</v>
      </c>
      <c r="I30" s="383">
        <f t="shared" si="1"/>
        <v>1557.1554678359</v>
      </c>
      <c r="J30" s="383">
        <f t="shared" ca="1" si="2"/>
        <v>460.61572954643236</v>
      </c>
      <c r="K30" s="383">
        <f t="shared" ca="1" si="3"/>
        <v>0</v>
      </c>
      <c r="L30" s="383">
        <f t="shared" ca="1" si="26"/>
        <v>0</v>
      </c>
      <c r="M30" s="386">
        <f t="shared" si="4"/>
        <v>5203.5</v>
      </c>
      <c r="N30" s="386">
        <f t="shared" ca="1" si="27"/>
        <v>7589.7637810194783</v>
      </c>
      <c r="O30" s="493"/>
      <c r="P30" s="361">
        <f t="shared" ca="1" si="47"/>
        <v>5676.9667236048326</v>
      </c>
      <c r="Q30" s="370">
        <f ca="1">Tax!O17</f>
        <v>-761.95701081825143</v>
      </c>
      <c r="R30" s="570">
        <f t="shared" ca="1" si="28"/>
        <v>4915.0097127865811</v>
      </c>
      <c r="S30" s="377">
        <f t="shared" si="5"/>
        <v>598.90594916765383</v>
      </c>
      <c r="T30" s="378">
        <f t="shared" si="6"/>
        <v>1197.8118983353077</v>
      </c>
      <c r="U30" s="586">
        <f t="shared" ca="1" si="29"/>
        <v>49665.444935997359</v>
      </c>
      <c r="V30" s="379">
        <f t="shared" si="7"/>
        <v>1197.8118983353077</v>
      </c>
      <c r="W30" s="380">
        <f t="shared" si="30"/>
        <v>150.35962812229965</v>
      </c>
      <c r="X30" s="380">
        <f t="shared" si="8"/>
        <v>921.23145909286472</v>
      </c>
      <c r="Y30" s="381">
        <f t="shared" si="9"/>
        <v>460.61572954643236</v>
      </c>
      <c r="Z30" s="382">
        <f t="shared" si="31"/>
        <v>460.61572954643236</v>
      </c>
      <c r="AA30" s="383">
        <f t="shared" si="10"/>
        <v>0</v>
      </c>
      <c r="AB30" s="384">
        <f t="shared" si="32"/>
        <v>5899.54340098783</v>
      </c>
      <c r="AC30" s="379">
        <f t="shared" ca="1" si="33"/>
        <v>2763.6943772785939</v>
      </c>
      <c r="AD30" s="380">
        <f t="shared" ca="1" si="34"/>
        <v>381.11137086767053</v>
      </c>
      <c r="AE30" s="380">
        <f t="shared" si="11"/>
        <v>0</v>
      </c>
      <c r="AF30" s="381">
        <f t="shared" si="12"/>
        <v>0</v>
      </c>
      <c r="AG30" s="382">
        <f t="shared" ca="1" si="35"/>
        <v>0</v>
      </c>
      <c r="AH30" s="383">
        <f t="shared" ca="1" si="13"/>
        <v>0</v>
      </c>
      <c r="AI30" s="384">
        <f t="shared" ca="1" si="36"/>
        <v>15848.51811040195</v>
      </c>
      <c r="AJ30" s="590">
        <f t="shared" ca="1" si="14"/>
        <v>4915.0097127865811</v>
      </c>
      <c r="AK30" s="385">
        <f t="shared" ca="1" si="15"/>
        <v>0</v>
      </c>
      <c r="AL30" s="591">
        <f t="shared" ca="1" si="37"/>
        <v>27139.803963388658</v>
      </c>
      <c r="AM30" s="388">
        <f t="shared" si="16"/>
        <v>598.90594916765383</v>
      </c>
      <c r="AN30" s="389">
        <f t="shared" si="38"/>
        <v>123.06099397826372</v>
      </c>
      <c r="AO30" s="390">
        <f t="shared" si="39"/>
        <v>4824.0000757547086</v>
      </c>
      <c r="AP30" s="389">
        <f t="shared" si="17"/>
        <v>1197.8118983353077</v>
      </c>
      <c r="AQ30" s="389">
        <f t="shared" si="40"/>
        <v>246.12198795652745</v>
      </c>
      <c r="AR30" s="389">
        <f>AP30+AQ30+AR29</f>
        <v>9648.0001515094173</v>
      </c>
      <c r="AS30" s="384">
        <f t="shared" si="42"/>
        <v>5899.54340098783</v>
      </c>
      <c r="AT30" s="390">
        <f t="shared" si="18"/>
        <v>20371.543628251955</v>
      </c>
      <c r="AU30" s="373">
        <f t="shared" si="19"/>
        <v>0.11056691251247426</v>
      </c>
      <c r="AV30" s="387">
        <f t="shared" si="43"/>
        <v>173450</v>
      </c>
      <c r="AW30" s="387">
        <f t="shared" si="20"/>
        <v>143628.45637174803</v>
      </c>
      <c r="AX30" s="374">
        <f t="shared" si="44"/>
        <v>0</v>
      </c>
      <c r="AY30" s="184">
        <f t="shared" si="48"/>
        <v>8</v>
      </c>
      <c r="AZ30" s="146"/>
      <c r="BA30" s="146"/>
      <c r="BB30" s="146"/>
      <c r="BC30" s="146"/>
      <c r="BD30" s="146"/>
      <c r="BE30" s="146"/>
    </row>
    <row r="31" spans="1:57">
      <c r="A31" s="360">
        <f t="shared" si="45"/>
        <v>9</v>
      </c>
      <c r="B31" s="182">
        <f t="shared" si="21"/>
        <v>188852.44911403724</v>
      </c>
      <c r="C31" s="361">
        <f t="shared" si="22"/>
        <v>12313.506314886963</v>
      </c>
      <c r="D31" s="375">
        <f t="shared" si="23"/>
        <v>0</v>
      </c>
      <c r="E31" s="376">
        <f t="shared" si="46"/>
        <v>12313.506314886963</v>
      </c>
      <c r="F31" s="377">
        <f t="shared" ca="1" si="24"/>
        <v>1489.9633480799207</v>
      </c>
      <c r="G31" s="377">
        <f t="shared" ca="1" si="25"/>
        <v>13803.469662966883</v>
      </c>
      <c r="H31" s="382">
        <f t="shared" si="0"/>
        <v>377.70489822807451</v>
      </c>
      <c r="I31" s="383">
        <f t="shared" si="1"/>
        <v>1600.7558209353053</v>
      </c>
      <c r="J31" s="383">
        <f t="shared" ca="1" si="2"/>
        <v>472.13112278509311</v>
      </c>
      <c r="K31" s="383">
        <f t="shared" ca="1" si="3"/>
        <v>0</v>
      </c>
      <c r="L31" s="383">
        <f t="shared" ca="1" si="26"/>
        <v>0</v>
      </c>
      <c r="M31" s="386">
        <f t="shared" si="4"/>
        <v>5203.5</v>
      </c>
      <c r="N31" s="386">
        <f t="shared" ca="1" si="27"/>
        <v>7654.0918419484733</v>
      </c>
      <c r="O31" s="493"/>
      <c r="P31" s="361">
        <f t="shared" ca="1" si="47"/>
        <v>6149.37782101841</v>
      </c>
      <c r="Q31" s="370">
        <f ca="1">Tax!P17</f>
        <v>-851.7151193268312</v>
      </c>
      <c r="R31" s="570">
        <f t="shared" ca="1" si="28"/>
        <v>5297.6627016915791</v>
      </c>
      <c r="S31" s="377">
        <f t="shared" si="5"/>
        <v>615.67531574434815</v>
      </c>
      <c r="T31" s="378">
        <f t="shared" si="6"/>
        <v>1231.3506314886963</v>
      </c>
      <c r="U31" s="586">
        <f t="shared" ca="1" si="29"/>
        <v>56810.133584921983</v>
      </c>
      <c r="V31" s="379">
        <f t="shared" si="7"/>
        <v>1231.3506314886963</v>
      </c>
      <c r="W31" s="380">
        <f t="shared" si="30"/>
        <v>176.98630202963489</v>
      </c>
      <c r="X31" s="380">
        <f t="shared" si="8"/>
        <v>944.26224557018622</v>
      </c>
      <c r="Y31" s="381">
        <f t="shared" si="9"/>
        <v>472.13112278509311</v>
      </c>
      <c r="Z31" s="382">
        <f t="shared" si="31"/>
        <v>472.13112278509311</v>
      </c>
      <c r="AA31" s="383">
        <f t="shared" si="10"/>
        <v>0</v>
      </c>
      <c r="AB31" s="384">
        <f t="shared" si="32"/>
        <v>6835.7492117210677</v>
      </c>
      <c r="AC31" s="379">
        <f t="shared" ca="1" si="33"/>
        <v>2832.7867367105587</v>
      </c>
      <c r="AD31" s="380">
        <f t="shared" ca="1" si="34"/>
        <v>475.45554331205847</v>
      </c>
      <c r="AE31" s="380">
        <f t="shared" si="11"/>
        <v>0</v>
      </c>
      <c r="AF31" s="381">
        <f t="shared" si="12"/>
        <v>0</v>
      </c>
      <c r="AG31" s="382">
        <f t="shared" ca="1" si="35"/>
        <v>0</v>
      </c>
      <c r="AH31" s="383">
        <f t="shared" ca="1" si="13"/>
        <v>0</v>
      </c>
      <c r="AI31" s="384">
        <f t="shared" ca="1" si="36"/>
        <v>19156.760390424566</v>
      </c>
      <c r="AJ31" s="590">
        <f t="shared" ca="1" si="14"/>
        <v>5297.6627016915791</v>
      </c>
      <c r="AK31" s="385">
        <f t="shared" ca="1" si="15"/>
        <v>0</v>
      </c>
      <c r="AL31" s="591">
        <f t="shared" ca="1" si="37"/>
        <v>32437.466665080239</v>
      </c>
      <c r="AM31" s="388">
        <f t="shared" si="16"/>
        <v>615.67531574434815</v>
      </c>
      <c r="AN31" s="389">
        <f t="shared" si="38"/>
        <v>144.72000227264127</v>
      </c>
      <c r="AO31" s="390">
        <f t="shared" si="39"/>
        <v>5584.3953937716979</v>
      </c>
      <c r="AP31" s="389">
        <f t="shared" si="17"/>
        <v>1231.3506314886963</v>
      </c>
      <c r="AQ31" s="389">
        <f t="shared" si="40"/>
        <v>289.44000454528253</v>
      </c>
      <c r="AR31" s="389">
        <f t="shared" si="41"/>
        <v>11168.790787543396</v>
      </c>
      <c r="AS31" s="384">
        <f t="shared" si="42"/>
        <v>6835.7492117210677</v>
      </c>
      <c r="AT31" s="390">
        <f t="shared" si="18"/>
        <v>23588.935393036161</v>
      </c>
      <c r="AU31" s="373">
        <f t="shared" si="19"/>
        <v>0.12490669569655487</v>
      </c>
      <c r="AV31" s="387">
        <f t="shared" si="43"/>
        <v>173450</v>
      </c>
      <c r="AW31" s="387">
        <f t="shared" si="20"/>
        <v>140411.06460696383</v>
      </c>
      <c r="AX31" s="374">
        <f t="shared" si="44"/>
        <v>0</v>
      </c>
      <c r="AY31" s="184">
        <f t="shared" si="48"/>
        <v>9</v>
      </c>
      <c r="AZ31" s="146"/>
      <c r="BA31" s="146"/>
      <c r="BB31" s="146"/>
      <c r="BC31" s="146"/>
      <c r="BD31" s="146"/>
      <c r="BE31" s="146"/>
    </row>
    <row r="32" spans="1:57">
      <c r="A32" s="360">
        <f t="shared" si="45"/>
        <v>10</v>
      </c>
      <c r="B32" s="182">
        <f t="shared" si="21"/>
        <v>193573.76034188815</v>
      </c>
      <c r="C32" s="361">
        <f t="shared" si="22"/>
        <v>12658.284491703798</v>
      </c>
      <c r="D32" s="375">
        <f t="shared" si="23"/>
        <v>0</v>
      </c>
      <c r="E32" s="376">
        <f t="shared" si="46"/>
        <v>12658.284491703798</v>
      </c>
      <c r="F32" s="377">
        <f t="shared" ca="1" si="24"/>
        <v>1704.3040075476595</v>
      </c>
      <c r="G32" s="377">
        <f t="shared" ca="1" si="25"/>
        <v>14362.588499251458</v>
      </c>
      <c r="H32" s="382">
        <f t="shared" si="0"/>
        <v>387.14752068377629</v>
      </c>
      <c r="I32" s="383">
        <f t="shared" si="1"/>
        <v>1645.5769839214938</v>
      </c>
      <c r="J32" s="383">
        <f t="shared" ca="1" si="2"/>
        <v>15001.96642649633</v>
      </c>
      <c r="K32" s="383">
        <f t="shared" ca="1" si="3"/>
        <v>0</v>
      </c>
      <c r="L32" s="383">
        <f t="shared" ca="1" si="26"/>
        <v>0</v>
      </c>
      <c r="M32" s="386">
        <f t="shared" si="4"/>
        <v>5203.5</v>
      </c>
      <c r="N32" s="386">
        <f t="shared" ca="1" si="27"/>
        <v>22238.190931101599</v>
      </c>
      <c r="O32" s="493"/>
      <c r="P32" s="361">
        <f t="shared" ca="1" si="47"/>
        <v>-7875.6024318501404</v>
      </c>
      <c r="Q32" s="370">
        <f ca="1">Tax!Q17</f>
        <v>0</v>
      </c>
      <c r="R32" s="570">
        <f t="shared" ca="1" si="28"/>
        <v>-7875.6024318501404</v>
      </c>
      <c r="S32" s="377">
        <f t="shared" si="5"/>
        <v>632.91422458518991</v>
      </c>
      <c r="T32" s="378">
        <f t="shared" si="6"/>
        <v>1265.8284491703798</v>
      </c>
      <c r="U32" s="586">
        <f t="shared" ca="1" si="29"/>
        <v>50833.273826827412</v>
      </c>
      <c r="V32" s="379">
        <f t="shared" si="7"/>
        <v>1265.8284491703798</v>
      </c>
      <c r="W32" s="380">
        <f t="shared" si="30"/>
        <v>205.07247635163202</v>
      </c>
      <c r="X32" s="380">
        <f t="shared" si="8"/>
        <v>967.86880170944073</v>
      </c>
      <c r="Y32" s="381">
        <f t="shared" si="9"/>
        <v>483.93440085472037</v>
      </c>
      <c r="Z32" s="382">
        <f t="shared" si="31"/>
        <v>483.93440085472037</v>
      </c>
      <c r="AA32" s="383">
        <f t="shared" si="10"/>
        <v>0</v>
      </c>
      <c r="AB32" s="384">
        <f t="shared" si="32"/>
        <v>7822.7157363883589</v>
      </c>
      <c r="AC32" s="379">
        <f t="shared" ca="1" si="33"/>
        <v>2903.606405128322</v>
      </c>
      <c r="AD32" s="380">
        <f t="shared" ca="1" si="34"/>
        <v>574.702811712737</v>
      </c>
      <c r="AE32" s="380">
        <f t="shared" si="11"/>
        <v>29036.064051283221</v>
      </c>
      <c r="AF32" s="381">
        <f t="shared" si="12"/>
        <v>14518.032025641611</v>
      </c>
      <c r="AG32" s="382">
        <f t="shared" ca="1" si="35"/>
        <v>14518.032025641611</v>
      </c>
      <c r="AH32" s="383">
        <f t="shared" ca="1" si="13"/>
        <v>0</v>
      </c>
      <c r="AI32" s="384">
        <f t="shared" ca="1" si="36"/>
        <v>8117.0375816240139</v>
      </c>
      <c r="AJ32" s="590">
        <f t="shared" ca="1" si="14"/>
        <v>-7875.6024318501404</v>
      </c>
      <c r="AK32" s="385">
        <f t="shared" ca="1" si="15"/>
        <v>0</v>
      </c>
      <c r="AL32" s="591">
        <f t="shared" ca="1" si="37"/>
        <v>24561.864233230099</v>
      </c>
      <c r="AM32" s="388">
        <f t="shared" si="16"/>
        <v>632.91422458518991</v>
      </c>
      <c r="AN32" s="389">
        <f t="shared" si="38"/>
        <v>167.53186181315093</v>
      </c>
      <c r="AO32" s="390">
        <f t="shared" si="39"/>
        <v>6384.8414801700383</v>
      </c>
      <c r="AP32" s="389">
        <f t="shared" si="17"/>
        <v>1265.8284491703798</v>
      </c>
      <c r="AQ32" s="389">
        <f t="shared" si="40"/>
        <v>335.06372362630185</v>
      </c>
      <c r="AR32" s="389">
        <f t="shared" si="41"/>
        <v>12769.682960340077</v>
      </c>
      <c r="AS32" s="384">
        <f t="shared" ca="1" si="42"/>
        <v>15939.753318012372</v>
      </c>
      <c r="AT32" s="390">
        <f t="shared" ca="1" si="18"/>
        <v>35094.277758522483</v>
      </c>
      <c r="AU32" s="373">
        <f t="shared" ca="1" si="19"/>
        <v>0.1812966679809252</v>
      </c>
      <c r="AV32" s="387">
        <f t="shared" si="43"/>
        <v>173450</v>
      </c>
      <c r="AW32" s="387">
        <f t="shared" ca="1" si="20"/>
        <v>128905.72224147752</v>
      </c>
      <c r="AX32" s="374">
        <f t="shared" si="44"/>
        <v>80.354901059503987</v>
      </c>
      <c r="AY32" s="184">
        <f t="shared" si="48"/>
        <v>10</v>
      </c>
      <c r="AZ32" s="146">
        <v>2.4</v>
      </c>
      <c r="BA32" s="146"/>
      <c r="BB32" s="146"/>
      <c r="BC32" s="146"/>
      <c r="BD32" s="146"/>
      <c r="BE32" s="146"/>
    </row>
    <row r="33" spans="1:57">
      <c r="A33" s="360">
        <f t="shared" si="45"/>
        <v>11</v>
      </c>
      <c r="B33" s="182">
        <f t="shared" si="21"/>
        <v>198413.10435043534</v>
      </c>
      <c r="C33" s="361">
        <f t="shared" si="22"/>
        <v>13012.716457471504</v>
      </c>
      <c r="D33" s="375">
        <f t="shared" si="23"/>
        <v>80.354901059503987</v>
      </c>
      <c r="E33" s="376">
        <f t="shared" si="46"/>
        <v>12932.361556412001</v>
      </c>
      <c r="F33" s="377">
        <f t="shared" ca="1" si="24"/>
        <v>1524.9982148048223</v>
      </c>
      <c r="G33" s="377">
        <f t="shared" ca="1" si="25"/>
        <v>14457.359771216823</v>
      </c>
      <c r="H33" s="382">
        <f t="shared" si="0"/>
        <v>396.82620870087072</v>
      </c>
      <c r="I33" s="383">
        <f t="shared" si="1"/>
        <v>1681.2070023335602</v>
      </c>
      <c r="J33" s="383">
        <f t="shared" ca="1" si="2"/>
        <v>496.03276087608839</v>
      </c>
      <c r="K33" s="383">
        <f t="shared" ca="1" si="3"/>
        <v>0</v>
      </c>
      <c r="L33" s="383">
        <f t="shared" ca="1" si="26"/>
        <v>0</v>
      </c>
      <c r="M33" s="386">
        <f t="shared" si="4"/>
        <v>5203.5</v>
      </c>
      <c r="N33" s="386">
        <f t="shared" ca="1" si="27"/>
        <v>7777.5659719105197</v>
      </c>
      <c r="O33" s="493"/>
      <c r="P33" s="361">
        <f t="shared" ca="1" si="47"/>
        <v>6679.7937993063033</v>
      </c>
      <c r="Q33" s="370">
        <f ca="1">Tax!R17</f>
        <v>0</v>
      </c>
      <c r="R33" s="570">
        <f t="shared" ca="1" si="28"/>
        <v>6679.7937993063033</v>
      </c>
      <c r="S33" s="377">
        <f t="shared" si="5"/>
        <v>650.63582287357531</v>
      </c>
      <c r="T33" s="378">
        <f t="shared" si="6"/>
        <v>1301.2716457471506</v>
      </c>
      <c r="U33" s="586">
        <f t="shared" ca="1" si="29"/>
        <v>59464.975094754453</v>
      </c>
      <c r="V33" s="379">
        <f t="shared" si="7"/>
        <v>1293.2361556412002</v>
      </c>
      <c r="W33" s="380">
        <f t="shared" si="30"/>
        <v>234.68147209165076</v>
      </c>
      <c r="X33" s="380">
        <f t="shared" si="8"/>
        <v>992.06552175217678</v>
      </c>
      <c r="Y33" s="381">
        <f t="shared" si="9"/>
        <v>496.03276087608839</v>
      </c>
      <c r="Z33" s="382">
        <f t="shared" si="31"/>
        <v>496.03276087608839</v>
      </c>
      <c r="AA33" s="383">
        <f t="shared" si="10"/>
        <v>0</v>
      </c>
      <c r="AB33" s="384">
        <f t="shared" si="32"/>
        <v>8854.6006032451223</v>
      </c>
      <c r="AC33" s="379">
        <f t="shared" ca="1" si="33"/>
        <v>2976.19656525653</v>
      </c>
      <c r="AD33" s="380">
        <f t="shared" ca="1" si="34"/>
        <v>243.5111274487204</v>
      </c>
      <c r="AE33" s="380">
        <f t="shared" si="11"/>
        <v>0</v>
      </c>
      <c r="AF33" s="381">
        <f t="shared" si="12"/>
        <v>0</v>
      </c>
      <c r="AG33" s="382">
        <f t="shared" ca="1" si="35"/>
        <v>0</v>
      </c>
      <c r="AH33" s="383">
        <f t="shared" ca="1" si="13"/>
        <v>0</v>
      </c>
      <c r="AI33" s="384">
        <f t="shared" ca="1" si="36"/>
        <v>11336.745274329263</v>
      </c>
      <c r="AJ33" s="590">
        <f t="shared" ca="1" si="14"/>
        <v>6679.7937993063033</v>
      </c>
      <c r="AK33" s="385">
        <f t="shared" ca="1" si="15"/>
        <v>0</v>
      </c>
      <c r="AL33" s="591">
        <f t="shared" ca="1" si="37"/>
        <v>31241.658032536401</v>
      </c>
      <c r="AM33" s="388">
        <f t="shared" si="16"/>
        <v>650.63582287357531</v>
      </c>
      <c r="AN33" s="389">
        <f t="shared" si="38"/>
        <v>191.54524440510113</v>
      </c>
      <c r="AO33" s="390">
        <f t="shared" si="39"/>
        <v>7227.0225474487142</v>
      </c>
      <c r="AP33" s="389">
        <f t="shared" si="17"/>
        <v>1301.2716457471506</v>
      </c>
      <c r="AQ33" s="389">
        <f t="shared" si="40"/>
        <v>383.09048881020226</v>
      </c>
      <c r="AR33" s="389">
        <f t="shared" si="41"/>
        <v>14454.045094897428</v>
      </c>
      <c r="AS33" s="384">
        <f t="shared" si="42"/>
        <v>8854.6006032451223</v>
      </c>
      <c r="AT33" s="390">
        <f t="shared" si="18"/>
        <v>30535.668245591263</v>
      </c>
      <c r="AU33" s="373">
        <f t="shared" si="19"/>
        <v>0.15389945309085762</v>
      </c>
      <c r="AV33" s="387">
        <f t="shared" si="43"/>
        <v>173450</v>
      </c>
      <c r="AW33" s="387">
        <f t="shared" si="20"/>
        <v>133464.33175440875</v>
      </c>
      <c r="AX33" s="374">
        <f t="shared" si="44"/>
        <v>256.20230790729153</v>
      </c>
      <c r="AY33" s="184">
        <f t="shared" si="48"/>
        <v>11</v>
      </c>
      <c r="AZ33" s="146"/>
      <c r="BA33" s="146"/>
      <c r="BB33" s="146"/>
      <c r="BC33" s="146"/>
      <c r="BD33" s="146"/>
      <c r="BE33" s="146"/>
    </row>
    <row r="34" spans="1:57">
      <c r="A34" s="360">
        <f t="shared" si="45"/>
        <v>12</v>
      </c>
      <c r="B34" s="182">
        <f t="shared" si="21"/>
        <v>203373.4319591962</v>
      </c>
      <c r="C34" s="361">
        <f t="shared" si="22"/>
        <v>13377.072518280707</v>
      </c>
      <c r="D34" s="375">
        <f t="shared" si="23"/>
        <v>256.20230790729153</v>
      </c>
      <c r="E34" s="376">
        <f t="shared" si="46"/>
        <v>13120.870210373416</v>
      </c>
      <c r="F34" s="377">
        <f t="shared" ca="1" si="24"/>
        <v>1783.9492528426335</v>
      </c>
      <c r="G34" s="377">
        <f t="shared" ca="1" si="25"/>
        <v>14904.819463216048</v>
      </c>
      <c r="H34" s="382">
        <f t="shared" si="0"/>
        <v>406.74686391839242</v>
      </c>
      <c r="I34" s="383">
        <f t="shared" si="1"/>
        <v>1705.713127348544</v>
      </c>
      <c r="J34" s="383">
        <f t="shared" ca="1" si="2"/>
        <v>508.43357989799051</v>
      </c>
      <c r="K34" s="383">
        <f t="shared" ca="1" si="3"/>
        <v>0</v>
      </c>
      <c r="L34" s="383">
        <f t="shared" ca="1" si="26"/>
        <v>0</v>
      </c>
      <c r="M34" s="386">
        <f t="shared" si="4"/>
        <v>5203.5</v>
      </c>
      <c r="N34" s="386">
        <f t="shared" ca="1" si="27"/>
        <v>7824.3935711649265</v>
      </c>
      <c r="O34" s="493"/>
      <c r="P34" s="361">
        <f t="shared" ca="1" si="47"/>
        <v>7080.425892051122</v>
      </c>
      <c r="Q34" s="370">
        <f ca="1">Tax!S17</f>
        <v>-168.07727930638379</v>
      </c>
      <c r="R34" s="570">
        <f t="shared" ca="1" si="28"/>
        <v>6912.3486127447386</v>
      </c>
      <c r="S34" s="377">
        <f t="shared" si="5"/>
        <v>668.85362591403543</v>
      </c>
      <c r="T34" s="378">
        <f t="shared" si="6"/>
        <v>1337.7072518280709</v>
      </c>
      <c r="U34" s="586">
        <f t="shared" ca="1" si="29"/>
        <v>68383.884585241307</v>
      </c>
      <c r="V34" s="379">
        <f t="shared" si="7"/>
        <v>1312.0870210373416</v>
      </c>
      <c r="W34" s="380">
        <f t="shared" si="30"/>
        <v>265.63801809735367</v>
      </c>
      <c r="X34" s="380">
        <f t="shared" si="8"/>
        <v>1016.867159795981</v>
      </c>
      <c r="Y34" s="381">
        <f t="shared" si="9"/>
        <v>508.43357989799051</v>
      </c>
      <c r="Z34" s="382">
        <f t="shared" si="31"/>
        <v>508.43357989799051</v>
      </c>
      <c r="AA34" s="383">
        <f t="shared" si="10"/>
        <v>0</v>
      </c>
      <c r="AB34" s="384">
        <f t="shared" si="32"/>
        <v>9923.8920624818275</v>
      </c>
      <c r="AC34" s="379">
        <f t="shared" ca="1" si="33"/>
        <v>3050.6014793879431</v>
      </c>
      <c r="AD34" s="380">
        <f t="shared" ca="1" si="34"/>
        <v>340.10235822987789</v>
      </c>
      <c r="AE34" s="380">
        <f t="shared" si="11"/>
        <v>0</v>
      </c>
      <c r="AF34" s="381">
        <f t="shared" si="12"/>
        <v>0</v>
      </c>
      <c r="AG34" s="382">
        <f t="shared" ca="1" si="35"/>
        <v>0</v>
      </c>
      <c r="AH34" s="383">
        <f t="shared" ca="1" si="13"/>
        <v>0</v>
      </c>
      <c r="AI34" s="384">
        <f t="shared" ca="1" si="36"/>
        <v>14727.449111947084</v>
      </c>
      <c r="AJ34" s="590">
        <f t="shared" ca="1" si="14"/>
        <v>6912.3486127447386</v>
      </c>
      <c r="AK34" s="385">
        <f t="shared" ca="1" si="15"/>
        <v>0</v>
      </c>
      <c r="AL34" s="591">
        <f t="shared" ca="1" si="37"/>
        <v>38154.006645281137</v>
      </c>
      <c r="AM34" s="388">
        <f t="shared" si="16"/>
        <v>668.85362591403543</v>
      </c>
      <c r="AN34" s="389">
        <f t="shared" si="38"/>
        <v>216.81067642346142</v>
      </c>
      <c r="AO34" s="390">
        <f t="shared" si="39"/>
        <v>8112.6868497862106</v>
      </c>
      <c r="AP34" s="389">
        <f t="shared" si="17"/>
        <v>1337.7072518280709</v>
      </c>
      <c r="AQ34" s="389">
        <f t="shared" si="40"/>
        <v>433.62135284692283</v>
      </c>
      <c r="AR34" s="389">
        <f t="shared" si="41"/>
        <v>16225.373699572421</v>
      </c>
      <c r="AS34" s="384">
        <f t="shared" si="42"/>
        <v>9923.8920624818275</v>
      </c>
      <c r="AT34" s="390">
        <f t="shared" si="18"/>
        <v>34261.952611840461</v>
      </c>
      <c r="AU34" s="373">
        <f t="shared" si="19"/>
        <v>0.16846818329109284</v>
      </c>
      <c r="AV34" s="387">
        <f t="shared" si="43"/>
        <v>173450</v>
      </c>
      <c r="AW34" s="387">
        <f t="shared" si="20"/>
        <v>129738.04738815954</v>
      </c>
      <c r="AX34" s="374">
        <f t="shared" si="44"/>
        <v>441.12901423536084</v>
      </c>
      <c r="AY34" s="184">
        <f t="shared" si="48"/>
        <v>12</v>
      </c>
      <c r="AZ34" s="146"/>
      <c r="BA34" s="146"/>
      <c r="BB34" s="146"/>
      <c r="BC34" s="146"/>
      <c r="BD34" s="146"/>
      <c r="BE34" s="146"/>
    </row>
    <row r="35" spans="1:57">
      <c r="A35" s="360">
        <f t="shared" si="45"/>
        <v>13</v>
      </c>
      <c r="B35" s="182">
        <f t="shared" si="21"/>
        <v>208457.76775817608</v>
      </c>
      <c r="C35" s="361">
        <f t="shared" si="22"/>
        <v>13751.630548792567</v>
      </c>
      <c r="D35" s="375">
        <f t="shared" si="23"/>
        <v>441.12901423536084</v>
      </c>
      <c r="E35" s="376">
        <f t="shared" si="46"/>
        <v>13310.501534557206</v>
      </c>
      <c r="F35" s="377">
        <f t="shared" ca="1" si="24"/>
        <v>2051.5165375572392</v>
      </c>
      <c r="G35" s="377">
        <f t="shared" ca="1" si="25"/>
        <v>15362.018072114446</v>
      </c>
      <c r="H35" s="382">
        <f t="shared" si="0"/>
        <v>416.91553551635218</v>
      </c>
      <c r="I35" s="383">
        <f t="shared" si="1"/>
        <v>1730.3651994924369</v>
      </c>
      <c r="J35" s="383">
        <f t="shared" ca="1" si="2"/>
        <v>521.1444193954402</v>
      </c>
      <c r="K35" s="383">
        <f t="shared" ca="1" si="3"/>
        <v>0</v>
      </c>
      <c r="L35" s="383">
        <f t="shared" ca="1" si="26"/>
        <v>0</v>
      </c>
      <c r="M35" s="386">
        <f t="shared" si="4"/>
        <v>5203.5</v>
      </c>
      <c r="N35" s="386">
        <f t="shared" ca="1" si="27"/>
        <v>7871.925154404229</v>
      </c>
      <c r="O35" s="493"/>
      <c r="P35" s="361">
        <f t="shared" ca="1" si="47"/>
        <v>7490.0929177102171</v>
      </c>
      <c r="Q35" s="370">
        <f ca="1">Tax!T17</f>
        <v>-1106.4509876982745</v>
      </c>
      <c r="R35" s="570">
        <f t="shared" ca="1" si="28"/>
        <v>6383.6419300119423</v>
      </c>
      <c r="S35" s="377">
        <f t="shared" si="5"/>
        <v>687.58152743962842</v>
      </c>
      <c r="T35" s="378">
        <f t="shared" si="6"/>
        <v>1375.1630548792568</v>
      </c>
      <c r="U35" s="586">
        <f t="shared" ca="1" si="29"/>
        <v>76830.271097572127</v>
      </c>
      <c r="V35" s="379">
        <f t="shared" si="7"/>
        <v>1331.0501534557206</v>
      </c>
      <c r="W35" s="380">
        <f t="shared" si="30"/>
        <v>297.71676187445479</v>
      </c>
      <c r="X35" s="380">
        <f t="shared" si="8"/>
        <v>1042.2888387908804</v>
      </c>
      <c r="Y35" s="381">
        <f t="shared" si="9"/>
        <v>521.1444193954402</v>
      </c>
      <c r="Z35" s="382">
        <f t="shared" si="31"/>
        <v>521.1444193954402</v>
      </c>
      <c r="AA35" s="383">
        <f t="shared" si="10"/>
        <v>0</v>
      </c>
      <c r="AB35" s="384">
        <f t="shared" si="32"/>
        <v>11031.514558416562</v>
      </c>
      <c r="AC35" s="379">
        <f t="shared" ca="1" si="33"/>
        <v>3126.8665163726409</v>
      </c>
      <c r="AD35" s="380">
        <f t="shared" ca="1" si="34"/>
        <v>441.82347335841251</v>
      </c>
      <c r="AE35" s="380">
        <f t="shared" si="11"/>
        <v>0</v>
      </c>
      <c r="AF35" s="381">
        <f t="shared" si="12"/>
        <v>0</v>
      </c>
      <c r="AG35" s="382">
        <f t="shared" ca="1" si="35"/>
        <v>0</v>
      </c>
      <c r="AH35" s="383">
        <f t="shared" ca="1" si="13"/>
        <v>0</v>
      </c>
      <c r="AI35" s="384">
        <f t="shared" ca="1" si="36"/>
        <v>18296.139101678138</v>
      </c>
      <c r="AJ35" s="590">
        <f t="shared" ca="1" si="14"/>
        <v>6383.6419300119423</v>
      </c>
      <c r="AK35" s="385">
        <f t="shared" ca="1" si="15"/>
        <v>0</v>
      </c>
      <c r="AL35" s="591">
        <f t="shared" ca="1" si="37"/>
        <v>44537.648575293082</v>
      </c>
      <c r="AM35" s="388">
        <f t="shared" si="16"/>
        <v>687.58152743962842</v>
      </c>
      <c r="AN35" s="389">
        <f t="shared" si="38"/>
        <v>243.3806054935863</v>
      </c>
      <c r="AO35" s="390">
        <f t="shared" si="39"/>
        <v>9043.6489827194255</v>
      </c>
      <c r="AP35" s="389">
        <f t="shared" si="17"/>
        <v>1375.1630548792568</v>
      </c>
      <c r="AQ35" s="389">
        <f t="shared" si="40"/>
        <v>486.7612109871726</v>
      </c>
      <c r="AR35" s="389">
        <f t="shared" si="41"/>
        <v>18087.297965438851</v>
      </c>
      <c r="AS35" s="384">
        <f t="shared" si="42"/>
        <v>11031.514558416562</v>
      </c>
      <c r="AT35" s="390">
        <f t="shared" si="18"/>
        <v>38162.461506574837</v>
      </c>
      <c r="AU35" s="373">
        <f t="shared" si="19"/>
        <v>0.18307046994212112</v>
      </c>
      <c r="AV35" s="387">
        <f t="shared" si="43"/>
        <v>173450</v>
      </c>
      <c r="AW35" s="387">
        <f t="shared" si="20"/>
        <v>125837.53849342516</v>
      </c>
      <c r="AX35" s="374">
        <f t="shared" si="44"/>
        <v>635.51390759181595</v>
      </c>
      <c r="AY35" s="184">
        <f>AY34+1</f>
        <v>13</v>
      </c>
      <c r="AZ35" s="146"/>
      <c r="BA35" s="146"/>
      <c r="BB35" s="146"/>
      <c r="BC35" s="146"/>
      <c r="BD35" s="146"/>
      <c r="BE35" s="146"/>
    </row>
    <row r="36" spans="1:57">
      <c r="A36" s="360">
        <f t="shared" si="45"/>
        <v>14</v>
      </c>
      <c r="B36" s="182">
        <f t="shared" si="21"/>
        <v>213669.21195213046</v>
      </c>
      <c r="C36" s="361">
        <f t="shared" si="22"/>
        <v>14136.676204158759</v>
      </c>
      <c r="D36" s="375">
        <f t="shared" si="23"/>
        <v>635.51390759181595</v>
      </c>
      <c r="E36" s="376">
        <f t="shared" si="46"/>
        <v>13501.162296566943</v>
      </c>
      <c r="F36" s="377">
        <f t="shared" ca="1" si="24"/>
        <v>2304.9081329271639</v>
      </c>
      <c r="G36" s="377">
        <f t="shared" ca="1" si="25"/>
        <v>15806.070429494106</v>
      </c>
      <c r="H36" s="382">
        <f t="shared" si="0"/>
        <v>427.33842390426094</v>
      </c>
      <c r="I36" s="383">
        <f t="shared" si="1"/>
        <v>1755.1510985537027</v>
      </c>
      <c r="J36" s="383">
        <f t="shared" ca="1" si="2"/>
        <v>534.17302988032611</v>
      </c>
      <c r="K36" s="383">
        <f t="shared" ca="1" si="3"/>
        <v>0</v>
      </c>
      <c r="L36" s="383">
        <f t="shared" ca="1" si="26"/>
        <v>0</v>
      </c>
      <c r="M36" s="386">
        <f t="shared" si="4"/>
        <v>5203.5</v>
      </c>
      <c r="N36" s="386">
        <f t="shared" ca="1" si="27"/>
        <v>7920.16255233829</v>
      </c>
      <c r="O36" s="493"/>
      <c r="P36" s="361">
        <f t="shared" ca="1" si="47"/>
        <v>7885.9078771558161</v>
      </c>
      <c r="Q36" s="370">
        <f ca="1">Tax!U17</f>
        <v>-1181.6558299929384</v>
      </c>
      <c r="R36" s="570">
        <f t="shared" ca="1" si="28"/>
        <v>6704.2520471628777</v>
      </c>
      <c r="S36" s="377">
        <f t="shared" si="5"/>
        <v>706.83381020793797</v>
      </c>
      <c r="T36" s="378">
        <f t="shared" si="6"/>
        <v>1413.6676204158759</v>
      </c>
      <c r="U36" s="586">
        <f t="shared" ca="1" si="29"/>
        <v>85655.024575358839</v>
      </c>
      <c r="V36" s="379">
        <f t="shared" si="7"/>
        <v>1350.1162296566945</v>
      </c>
      <c r="W36" s="380">
        <f t="shared" si="30"/>
        <v>330.94543675249685</v>
      </c>
      <c r="X36" s="380">
        <f t="shared" si="8"/>
        <v>1068.3460597606522</v>
      </c>
      <c r="Y36" s="381">
        <f t="shared" si="9"/>
        <v>534.17302988032611</v>
      </c>
      <c r="Z36" s="382">
        <f t="shared" si="31"/>
        <v>534.17302988032611</v>
      </c>
      <c r="AA36" s="383">
        <f t="shared" si="10"/>
        <v>0</v>
      </c>
      <c r="AB36" s="384">
        <f t="shared" si="32"/>
        <v>12178.403194945427</v>
      </c>
      <c r="AC36" s="379">
        <f t="shared" ca="1" si="33"/>
        <v>3205.0381792819567</v>
      </c>
      <c r="AD36" s="380">
        <f t="shared" ca="1" si="34"/>
        <v>548.88417305034409</v>
      </c>
      <c r="AE36" s="380">
        <f t="shared" si="11"/>
        <v>0</v>
      </c>
      <c r="AF36" s="381">
        <f t="shared" si="12"/>
        <v>0</v>
      </c>
      <c r="AG36" s="382">
        <f t="shared" ca="1" si="35"/>
        <v>0</v>
      </c>
      <c r="AH36" s="383">
        <f t="shared" ca="1" si="13"/>
        <v>0</v>
      </c>
      <c r="AI36" s="384">
        <f t="shared" ca="1" si="36"/>
        <v>22050.06145401044</v>
      </c>
      <c r="AJ36" s="590">
        <f t="shared" ca="1" si="14"/>
        <v>6704.2520471628777</v>
      </c>
      <c r="AK36" s="385">
        <f t="shared" ca="1" si="15"/>
        <v>0</v>
      </c>
      <c r="AL36" s="591">
        <f t="shared" ca="1" si="37"/>
        <v>51241.900622455956</v>
      </c>
      <c r="AM36" s="388">
        <f t="shared" si="16"/>
        <v>706.83381020793797</v>
      </c>
      <c r="AN36" s="389">
        <f t="shared" si="38"/>
        <v>271.30946948158277</v>
      </c>
      <c r="AO36" s="390">
        <f t="shared" si="39"/>
        <v>10021.792262408946</v>
      </c>
      <c r="AP36" s="389">
        <f t="shared" si="17"/>
        <v>1413.6676204158759</v>
      </c>
      <c r="AQ36" s="389">
        <f t="shared" si="40"/>
        <v>542.61893896316553</v>
      </c>
      <c r="AR36" s="389">
        <f t="shared" si="41"/>
        <v>20043.584524817892</v>
      </c>
      <c r="AS36" s="384">
        <f t="shared" si="42"/>
        <v>12178.403194945427</v>
      </c>
      <c r="AT36" s="390">
        <f t="shared" si="18"/>
        <v>42243.779982172266</v>
      </c>
      <c r="AU36" s="373">
        <f t="shared" si="19"/>
        <v>0.1977064435078105</v>
      </c>
      <c r="AV36" s="387">
        <f t="shared" si="43"/>
        <v>173450</v>
      </c>
      <c r="AW36" s="387">
        <f t="shared" si="20"/>
        <v>121756.22001782773</v>
      </c>
      <c r="AX36" s="374">
        <f t="shared" si="44"/>
        <v>839.7502243909878</v>
      </c>
      <c r="AY36" s="184">
        <f>AY35+1</f>
        <v>14</v>
      </c>
      <c r="AZ36" s="146"/>
      <c r="BA36" s="146"/>
      <c r="BB36" s="146"/>
      <c r="BC36" s="146"/>
      <c r="BD36" s="146"/>
      <c r="BE36" s="146"/>
    </row>
    <row r="37" spans="1:57">
      <c r="A37" s="360">
        <f t="shared" si="45"/>
        <v>15</v>
      </c>
      <c r="B37" s="182">
        <f t="shared" si="21"/>
        <v>219010.9422509337</v>
      </c>
      <c r="C37" s="361">
        <f t="shared" si="22"/>
        <v>14532.503137875205</v>
      </c>
      <c r="D37" s="375">
        <f t="shared" si="23"/>
        <v>839.7502243909878</v>
      </c>
      <c r="E37" s="376">
        <f t="shared" si="46"/>
        <v>13692.752913484217</v>
      </c>
      <c r="F37" s="377">
        <f t="shared" ca="1" si="24"/>
        <v>2569.6507372607653</v>
      </c>
      <c r="G37" s="377">
        <f t="shared" ca="1" si="25"/>
        <v>16262.403650744982</v>
      </c>
      <c r="H37" s="382">
        <f t="shared" si="0"/>
        <v>438.02188450186742</v>
      </c>
      <c r="I37" s="383">
        <f t="shared" si="1"/>
        <v>1780.0578787529482</v>
      </c>
      <c r="J37" s="383">
        <f t="shared" ca="1" si="2"/>
        <v>547.52735562733426</v>
      </c>
      <c r="K37" s="383">
        <f t="shared" ca="1" si="3"/>
        <v>0</v>
      </c>
      <c r="L37" s="383">
        <f t="shared" ca="1" si="26"/>
        <v>0</v>
      </c>
      <c r="M37" s="386">
        <f t="shared" si="4"/>
        <v>5203.5</v>
      </c>
      <c r="N37" s="386">
        <f t="shared" ca="1" si="27"/>
        <v>7969.1071188821497</v>
      </c>
      <c r="O37" s="493"/>
      <c r="P37" s="361">
        <f t="shared" ca="1" si="47"/>
        <v>8293.2965318628321</v>
      </c>
      <c r="Q37" s="370">
        <f ca="1">Tax!V17</f>
        <v>-1259.0596743872713</v>
      </c>
      <c r="R37" s="570">
        <f t="shared" ca="1" si="28"/>
        <v>7034.236857475561</v>
      </c>
      <c r="S37" s="377">
        <f t="shared" si="5"/>
        <v>726.62515689376028</v>
      </c>
      <c r="T37" s="378">
        <f t="shared" si="6"/>
        <v>1453.2503137875206</v>
      </c>
      <c r="U37" s="586">
        <f t="shared" ca="1" si="29"/>
        <v>94869.136903515668</v>
      </c>
      <c r="V37" s="379">
        <f t="shared" si="7"/>
        <v>1369.2752913484219</v>
      </c>
      <c r="W37" s="380">
        <f t="shared" si="30"/>
        <v>365.35209584836281</v>
      </c>
      <c r="X37" s="380">
        <f t="shared" si="8"/>
        <v>1095.0547112546685</v>
      </c>
      <c r="Y37" s="381">
        <f t="shared" si="9"/>
        <v>547.52735562733426</v>
      </c>
      <c r="Z37" s="382">
        <f t="shared" si="31"/>
        <v>547.52735562733426</v>
      </c>
      <c r="AA37" s="383">
        <f t="shared" si="10"/>
        <v>0</v>
      </c>
      <c r="AB37" s="384">
        <f t="shared" si="32"/>
        <v>13365.503226514878</v>
      </c>
      <c r="AC37" s="379">
        <f t="shared" ca="1" si="33"/>
        <v>3285.1641337640053</v>
      </c>
      <c r="AD37" s="380">
        <f t="shared" ca="1" si="34"/>
        <v>661.50184362031314</v>
      </c>
      <c r="AE37" s="380">
        <f t="shared" si="11"/>
        <v>0</v>
      </c>
      <c r="AF37" s="381">
        <f t="shared" si="12"/>
        <v>0</v>
      </c>
      <c r="AG37" s="382">
        <f t="shared" ca="1" si="35"/>
        <v>0</v>
      </c>
      <c r="AH37" s="383">
        <f t="shared" ca="1" si="13"/>
        <v>0</v>
      </c>
      <c r="AI37" s="384">
        <f t="shared" ca="1" si="36"/>
        <v>25996.727431394756</v>
      </c>
      <c r="AJ37" s="590">
        <f t="shared" ca="1" si="14"/>
        <v>7034.236857475561</v>
      </c>
      <c r="AK37" s="385">
        <f t="shared" ca="1" si="15"/>
        <v>0</v>
      </c>
      <c r="AL37" s="591">
        <f t="shared" ca="1" si="37"/>
        <v>58276.137479931516</v>
      </c>
      <c r="AM37" s="388">
        <f t="shared" si="16"/>
        <v>726.62515689376028</v>
      </c>
      <c r="AN37" s="389">
        <f t="shared" si="38"/>
        <v>300.65376787226836</v>
      </c>
      <c r="AO37" s="390">
        <f t="shared" si="39"/>
        <v>11049.071187174975</v>
      </c>
      <c r="AP37" s="389">
        <f t="shared" si="17"/>
        <v>1453.2503137875206</v>
      </c>
      <c r="AQ37" s="389">
        <f t="shared" si="40"/>
        <v>601.30753574453672</v>
      </c>
      <c r="AR37" s="389">
        <f t="shared" si="41"/>
        <v>22098.142374349951</v>
      </c>
      <c r="AS37" s="384">
        <f t="shared" si="42"/>
        <v>13365.503226514878</v>
      </c>
      <c r="AT37" s="390">
        <f t="shared" si="18"/>
        <v>46512.716788039805</v>
      </c>
      <c r="AU37" s="373">
        <f t="shared" si="19"/>
        <v>0.21237622335210746</v>
      </c>
      <c r="AV37" s="387">
        <f t="shared" si="43"/>
        <v>173450</v>
      </c>
      <c r="AW37" s="387">
        <f t="shared" si="20"/>
        <v>117487.2832119602</v>
      </c>
      <c r="AX37" s="374">
        <f t="shared" si="44"/>
        <v>1054.2460638821349</v>
      </c>
      <c r="AY37" s="184">
        <f t="shared" si="48"/>
        <v>15</v>
      </c>
      <c r="AZ37" s="146"/>
      <c r="BA37" s="146"/>
      <c r="BB37" s="146"/>
      <c r="BC37" s="146"/>
      <c r="BD37" s="146"/>
      <c r="BE37" s="146"/>
    </row>
    <row r="38" spans="1:57">
      <c r="A38" s="360">
        <f t="shared" si="45"/>
        <v>16</v>
      </c>
      <c r="B38" s="182">
        <f t="shared" si="21"/>
        <v>224486.21580720702</v>
      </c>
      <c r="C38" s="361">
        <f t="shared" si="22"/>
        <v>14939.413225735711</v>
      </c>
      <c r="D38" s="375">
        <f t="shared" si="23"/>
        <v>1054.2460638821349</v>
      </c>
      <c r="E38" s="376">
        <f t="shared" si="46"/>
        <v>13885.167161853577</v>
      </c>
      <c r="F38" s="377">
        <f t="shared" ca="1" si="24"/>
        <v>2846.0741071054699</v>
      </c>
      <c r="G38" s="377">
        <f t="shared" ca="1" si="25"/>
        <v>16731.241268959046</v>
      </c>
      <c r="H38" s="382">
        <f t="shared" si="0"/>
        <v>448.97243161441406</v>
      </c>
      <c r="I38" s="383">
        <f t="shared" si="1"/>
        <v>1805.071731040965</v>
      </c>
      <c r="J38" s="383">
        <f t="shared" ca="1" si="2"/>
        <v>561.21553951801752</v>
      </c>
      <c r="K38" s="383">
        <f t="shared" ca="1" si="3"/>
        <v>0</v>
      </c>
      <c r="L38" s="383">
        <f t="shared" ca="1" si="26"/>
        <v>0</v>
      </c>
      <c r="M38" s="386">
        <f t="shared" si="4"/>
        <v>5203.5</v>
      </c>
      <c r="N38" s="386">
        <f t="shared" ca="1" si="27"/>
        <v>8018.7597021733964</v>
      </c>
      <c r="O38" s="493"/>
      <c r="P38" s="361">
        <f t="shared" ca="1" si="47"/>
        <v>8712.4815667856492</v>
      </c>
      <c r="Q38" s="370">
        <f ca="1">Tax!W17</f>
        <v>-1338.7048310226066</v>
      </c>
      <c r="R38" s="570">
        <f t="shared" ca="1" si="28"/>
        <v>7373.7767357630428</v>
      </c>
      <c r="S38" s="377">
        <f t="shared" si="5"/>
        <v>746.97066128678557</v>
      </c>
      <c r="T38" s="378">
        <f t="shared" si="6"/>
        <v>1493.9413225735711</v>
      </c>
      <c r="U38" s="586">
        <f t="shared" ca="1" si="29"/>
        <v>104483.82562313907</v>
      </c>
      <c r="V38" s="379">
        <f t="shared" si="7"/>
        <v>1388.5167161853578</v>
      </c>
      <c r="W38" s="380">
        <f t="shared" si="30"/>
        <v>400.96509679544636</v>
      </c>
      <c r="X38" s="380">
        <f t="shared" si="8"/>
        <v>1122.431079036035</v>
      </c>
      <c r="Y38" s="381">
        <f t="shared" si="9"/>
        <v>561.21553951801752</v>
      </c>
      <c r="Z38" s="382">
        <f t="shared" si="31"/>
        <v>561.21553951801752</v>
      </c>
      <c r="AA38" s="383">
        <f t="shared" si="10"/>
        <v>0</v>
      </c>
      <c r="AB38" s="384">
        <f t="shared" si="32"/>
        <v>14593.769499977665</v>
      </c>
      <c r="AC38" s="379">
        <f t="shared" ca="1" si="33"/>
        <v>3367.2932371081051</v>
      </c>
      <c r="AD38" s="380">
        <f t="shared" ca="1" si="34"/>
        <v>779.90182294184262</v>
      </c>
      <c r="AE38" s="380">
        <f t="shared" si="11"/>
        <v>0</v>
      </c>
      <c r="AF38" s="381">
        <f t="shared" si="12"/>
        <v>0</v>
      </c>
      <c r="AG38" s="382">
        <f t="shared" ca="1" si="35"/>
        <v>0</v>
      </c>
      <c r="AH38" s="383">
        <f t="shared" ca="1" si="13"/>
        <v>0</v>
      </c>
      <c r="AI38" s="384">
        <f t="shared" ca="1" si="36"/>
        <v>30143.922491444704</v>
      </c>
      <c r="AJ38" s="590">
        <f t="shared" ref="AJ38:AJ62" ca="1" si="49">R38</f>
        <v>7373.7767357630428</v>
      </c>
      <c r="AK38" s="385">
        <f t="shared" ca="1" si="15"/>
        <v>0</v>
      </c>
      <c r="AL38" s="591">
        <f t="shared" ca="1" si="37"/>
        <v>65649.91421569456</v>
      </c>
      <c r="AM38" s="388">
        <f t="shared" si="16"/>
        <v>746.97066128678557</v>
      </c>
      <c r="AN38" s="389">
        <f t="shared" si="38"/>
        <v>331.47213561524927</v>
      </c>
      <c r="AO38" s="390">
        <f t="shared" si="39"/>
        <v>12127.51398407701</v>
      </c>
      <c r="AP38" s="389">
        <f t="shared" si="17"/>
        <v>1493.9413225735711</v>
      </c>
      <c r="AQ38" s="389">
        <f t="shared" si="40"/>
        <v>662.94427123049854</v>
      </c>
      <c r="AR38" s="389">
        <f t="shared" si="41"/>
        <v>24255.02796815402</v>
      </c>
      <c r="AS38" s="384">
        <f t="shared" si="42"/>
        <v>14593.769499977665</v>
      </c>
      <c r="AT38" s="390">
        <f t="shared" si="18"/>
        <v>50976.311452208691</v>
      </c>
      <c r="AU38" s="373">
        <f t="shared" si="19"/>
        <v>0.22707991788675394</v>
      </c>
      <c r="AV38" s="387">
        <f t="shared" si="43"/>
        <v>173450</v>
      </c>
      <c r="AW38" s="387">
        <f t="shared" si="20"/>
        <v>113023.6885477913</v>
      </c>
      <c r="AX38" s="374">
        <f t="shared" si="44"/>
        <v>1279.4249198752796</v>
      </c>
      <c r="AY38" s="184">
        <f t="shared" si="48"/>
        <v>16</v>
      </c>
      <c r="AZ38" s="146"/>
      <c r="BA38" s="146"/>
      <c r="BB38" s="146"/>
      <c r="BC38" s="146"/>
      <c r="BD38" s="146"/>
      <c r="BE38" s="146"/>
    </row>
    <row r="39" spans="1:57">
      <c r="A39" s="360">
        <f t="shared" si="45"/>
        <v>17</v>
      </c>
      <c r="B39" s="182">
        <f t="shared" si="21"/>
        <v>230098.37120238718</v>
      </c>
      <c r="C39" s="361">
        <f t="shared" si="22"/>
        <v>15357.716796056311</v>
      </c>
      <c r="D39" s="375">
        <f t="shared" si="23"/>
        <v>1279.4249198752796</v>
      </c>
      <c r="E39" s="376">
        <f t="shared" si="46"/>
        <v>14078.291876181032</v>
      </c>
      <c r="F39" s="377">
        <f t="shared" ca="1" si="24"/>
        <v>3134.5147686941718</v>
      </c>
      <c r="G39" s="377">
        <f t="shared" ca="1" si="25"/>
        <v>17212.806644875203</v>
      </c>
      <c r="H39" s="382">
        <f t="shared" si="0"/>
        <v>460.19674240477434</v>
      </c>
      <c r="I39" s="383">
        <f t="shared" si="1"/>
        <v>1830.1779439035342</v>
      </c>
      <c r="J39" s="383">
        <f t="shared" ca="1" si="2"/>
        <v>575.24592800596793</v>
      </c>
      <c r="K39" s="383">
        <f t="shared" ca="1" si="3"/>
        <v>0</v>
      </c>
      <c r="L39" s="383">
        <f t="shared" ca="1" si="26"/>
        <v>0</v>
      </c>
      <c r="M39" s="386">
        <f t="shared" si="4"/>
        <v>5203.5</v>
      </c>
      <c r="N39" s="386">
        <f t="shared" ca="1" si="27"/>
        <v>8069.1206143142772</v>
      </c>
      <c r="O39" s="493"/>
      <c r="P39" s="361">
        <f t="shared" ca="1" si="47"/>
        <v>9143.6860305609262</v>
      </c>
      <c r="Q39" s="370">
        <f ca="1">Tax!X17</f>
        <v>-1420.6336791399092</v>
      </c>
      <c r="R39" s="570">
        <f t="shared" ca="1" si="28"/>
        <v>7723.0523514210172</v>
      </c>
      <c r="S39" s="377">
        <f t="shared" si="5"/>
        <v>767.88583980281555</v>
      </c>
      <c r="T39" s="378">
        <f t="shared" si="6"/>
        <v>1535.7716796056311</v>
      </c>
      <c r="U39" s="586">
        <f t="shared" ca="1" si="29"/>
        <v>114510.53549396853</v>
      </c>
      <c r="V39" s="379">
        <f t="shared" si="7"/>
        <v>1407.8291876181033</v>
      </c>
      <c r="W39" s="380">
        <f t="shared" si="30"/>
        <v>437.81308499932993</v>
      </c>
      <c r="X39" s="380">
        <f t="shared" si="8"/>
        <v>1150.4918560119359</v>
      </c>
      <c r="Y39" s="381">
        <f t="shared" si="9"/>
        <v>575.24592800596793</v>
      </c>
      <c r="Z39" s="382">
        <f t="shared" si="31"/>
        <v>575.24592800596793</v>
      </c>
      <c r="AA39" s="383">
        <f t="shared" si="10"/>
        <v>0</v>
      </c>
      <c r="AB39" s="384">
        <f t="shared" si="32"/>
        <v>15864.16584458913</v>
      </c>
      <c r="AC39" s="379">
        <f t="shared" ca="1" si="33"/>
        <v>3451.4755680358076</v>
      </c>
      <c r="AD39" s="380">
        <f t="shared" ca="1" si="34"/>
        <v>904.31767474334106</v>
      </c>
      <c r="AE39" s="380">
        <f t="shared" si="11"/>
        <v>0</v>
      </c>
      <c r="AF39" s="381">
        <f t="shared" si="12"/>
        <v>0</v>
      </c>
      <c r="AG39" s="382">
        <f t="shared" ca="1" si="35"/>
        <v>0</v>
      </c>
      <c r="AH39" s="383">
        <f t="shared" ca="1" si="13"/>
        <v>0</v>
      </c>
      <c r="AI39" s="384">
        <f t="shared" ca="1" si="36"/>
        <v>34499.71573422385</v>
      </c>
      <c r="AJ39" s="590">
        <f t="shared" ca="1" si="49"/>
        <v>7723.0523514210172</v>
      </c>
      <c r="AK39" s="385">
        <f t="shared" ca="1" si="15"/>
        <v>0</v>
      </c>
      <c r="AL39" s="591">
        <f t="shared" ca="1" si="37"/>
        <v>73372.966567115582</v>
      </c>
      <c r="AM39" s="388">
        <f t="shared" si="16"/>
        <v>767.88583980281555</v>
      </c>
      <c r="AN39" s="389">
        <f t="shared" si="38"/>
        <v>363.82541952231026</v>
      </c>
      <c r="AO39" s="390">
        <f t="shared" si="39"/>
        <v>13259.225243402136</v>
      </c>
      <c r="AP39" s="389">
        <f t="shared" si="17"/>
        <v>1535.7716796056311</v>
      </c>
      <c r="AQ39" s="389">
        <f t="shared" si="40"/>
        <v>727.65083904462051</v>
      </c>
      <c r="AR39" s="389">
        <f t="shared" si="41"/>
        <v>26518.450486804271</v>
      </c>
      <c r="AS39" s="384">
        <f t="shared" si="42"/>
        <v>15864.16584458913</v>
      </c>
      <c r="AT39" s="390">
        <f t="shared" si="18"/>
        <v>55641.841574795537</v>
      </c>
      <c r="AU39" s="373">
        <f t="shared" si="19"/>
        <v>0.24181762471432164</v>
      </c>
      <c r="AV39" s="387">
        <f t="shared" si="43"/>
        <v>173450</v>
      </c>
      <c r="AW39" s="387">
        <f t="shared" si="20"/>
        <v>108358.15842520446</v>
      </c>
      <c r="AX39" s="374">
        <f t="shared" si="44"/>
        <v>1515.7262308223658</v>
      </c>
      <c r="AY39" s="184">
        <f t="shared" si="48"/>
        <v>17</v>
      </c>
      <c r="AZ39" s="146"/>
      <c r="BA39" s="146"/>
      <c r="BB39" s="146"/>
      <c r="BC39" s="146"/>
      <c r="BD39" s="146"/>
      <c r="BE39" s="146"/>
    </row>
    <row r="40" spans="1:57">
      <c r="A40" s="360">
        <f t="shared" si="45"/>
        <v>18</v>
      </c>
      <c r="B40" s="182">
        <f t="shared" si="21"/>
        <v>235850.83048244685</v>
      </c>
      <c r="C40" s="361">
        <f t="shared" si="22"/>
        <v>15787.732866345888</v>
      </c>
      <c r="D40" s="375">
        <f t="shared" si="23"/>
        <v>1515.7262308223658</v>
      </c>
      <c r="E40" s="376">
        <f t="shared" si="46"/>
        <v>14272.006635523523</v>
      </c>
      <c r="F40" s="377">
        <f t="shared" ca="1" si="24"/>
        <v>3435.316064819056</v>
      </c>
      <c r="G40" s="377">
        <f t="shared" ca="1" si="25"/>
        <v>17707.322700342578</v>
      </c>
      <c r="H40" s="382">
        <f t="shared" si="0"/>
        <v>471.70166096489373</v>
      </c>
      <c r="I40" s="383">
        <f t="shared" si="1"/>
        <v>1855.360862618058</v>
      </c>
      <c r="J40" s="383">
        <f t="shared" ca="1" si="2"/>
        <v>589.62707620611718</v>
      </c>
      <c r="K40" s="383">
        <f t="shared" ca="1" si="3"/>
        <v>0</v>
      </c>
      <c r="L40" s="383">
        <f t="shared" ca="1" si="26"/>
        <v>0</v>
      </c>
      <c r="M40" s="386">
        <f t="shared" si="4"/>
        <v>5203.5</v>
      </c>
      <c r="N40" s="386">
        <f t="shared" ca="1" si="27"/>
        <v>8120.1895997890688</v>
      </c>
      <c r="O40" s="493"/>
      <c r="P40" s="361">
        <f t="shared" ca="1" si="47"/>
        <v>9587.1331005535103</v>
      </c>
      <c r="Q40" s="370">
        <f ca="1">Tax!Y17</f>
        <v>-1504.8886224385003</v>
      </c>
      <c r="R40" s="570">
        <f t="shared" ca="1" si="28"/>
        <v>8082.2444781150098</v>
      </c>
      <c r="S40" s="377">
        <f t="shared" si="5"/>
        <v>789.38664331729444</v>
      </c>
      <c r="T40" s="378">
        <f t="shared" si="6"/>
        <v>1578.7732866345889</v>
      </c>
      <c r="U40" s="586">
        <f t="shared" ca="1" si="29"/>
        <v>124960.93990203543</v>
      </c>
      <c r="V40" s="379">
        <f t="shared" si="7"/>
        <v>1427.2006635523524</v>
      </c>
      <c r="W40" s="380">
        <f t="shared" si="30"/>
        <v>475.92497533767386</v>
      </c>
      <c r="X40" s="380">
        <f t="shared" si="8"/>
        <v>1179.2541524122344</v>
      </c>
      <c r="Y40" s="381">
        <f t="shared" si="9"/>
        <v>589.62707620611718</v>
      </c>
      <c r="Z40" s="382">
        <f t="shared" si="31"/>
        <v>589.62707620611718</v>
      </c>
      <c r="AA40" s="383">
        <f t="shared" si="10"/>
        <v>0</v>
      </c>
      <c r="AB40" s="384">
        <f t="shared" si="32"/>
        <v>17177.664407273038</v>
      </c>
      <c r="AC40" s="379">
        <f t="shared" ca="1" si="33"/>
        <v>3537.7624572367026</v>
      </c>
      <c r="AD40" s="380">
        <f t="shared" ca="1" si="34"/>
        <v>1034.9914720267154</v>
      </c>
      <c r="AE40" s="380">
        <f t="shared" si="11"/>
        <v>0</v>
      </c>
      <c r="AF40" s="381">
        <f t="shared" si="12"/>
        <v>0</v>
      </c>
      <c r="AG40" s="382">
        <f t="shared" ca="1" si="35"/>
        <v>0</v>
      </c>
      <c r="AH40" s="383">
        <f t="shared" ca="1" si="13"/>
        <v>0</v>
      </c>
      <c r="AI40" s="384">
        <f t="shared" ca="1" si="36"/>
        <v>39072.469663487267</v>
      </c>
      <c r="AJ40" s="590">
        <f t="shared" ca="1" si="49"/>
        <v>8082.2444781150098</v>
      </c>
      <c r="AK40" s="385">
        <f t="shared" ca="1" si="15"/>
        <v>0</v>
      </c>
      <c r="AL40" s="591">
        <f t="shared" ca="1" si="37"/>
        <v>81455.211045230593</v>
      </c>
      <c r="AM40" s="388">
        <f t="shared" si="16"/>
        <v>789.38664331729444</v>
      </c>
      <c r="AN40" s="389">
        <f t="shared" si="38"/>
        <v>397.77675730206408</v>
      </c>
      <c r="AO40" s="390">
        <f t="shared" si="39"/>
        <v>14446.388644021494</v>
      </c>
      <c r="AP40" s="389">
        <f t="shared" si="17"/>
        <v>1578.7732866345889</v>
      </c>
      <c r="AQ40" s="389">
        <f t="shared" si="40"/>
        <v>795.55351460412817</v>
      </c>
      <c r="AR40" s="389">
        <f t="shared" si="41"/>
        <v>28892.777288042987</v>
      </c>
      <c r="AS40" s="384">
        <f t="shared" si="42"/>
        <v>17177.664407273038</v>
      </c>
      <c r="AT40" s="390">
        <f t="shared" si="18"/>
        <v>60516.830339337524</v>
      </c>
      <c r="AU40" s="373">
        <f t="shared" si="19"/>
        <v>0.25658943076667046</v>
      </c>
      <c r="AV40" s="387">
        <f t="shared" si="43"/>
        <v>173450</v>
      </c>
      <c r="AW40" s="387">
        <f t="shared" si="20"/>
        <v>103483.16966066248</v>
      </c>
      <c r="AX40" s="374">
        <f t="shared" si="44"/>
        <v>1763.6059488716878</v>
      </c>
      <c r="AY40" s="184">
        <f t="shared" si="48"/>
        <v>18</v>
      </c>
      <c r="AZ40" s="146"/>
      <c r="BA40" s="146"/>
      <c r="BB40" s="146"/>
      <c r="BC40" s="146"/>
      <c r="BD40" s="146"/>
      <c r="BE40" s="146"/>
    </row>
    <row r="41" spans="1:57">
      <c r="A41" s="360">
        <f t="shared" si="45"/>
        <v>19</v>
      </c>
      <c r="B41" s="182">
        <f t="shared" si="21"/>
        <v>241747.101244508</v>
      </c>
      <c r="C41" s="361">
        <f t="shared" si="22"/>
        <v>16229.789386603574</v>
      </c>
      <c r="D41" s="375">
        <f t="shared" si="23"/>
        <v>1763.6059488716878</v>
      </c>
      <c r="E41" s="376">
        <f t="shared" si="46"/>
        <v>14466.183437731886</v>
      </c>
      <c r="F41" s="377">
        <f t="shared" ca="1" si="24"/>
        <v>3748.8281970610628</v>
      </c>
      <c r="G41" s="377">
        <f t="shared" ca="1" si="25"/>
        <v>18215.011634792951</v>
      </c>
      <c r="H41" s="382">
        <f t="shared" si="0"/>
        <v>483.494202489016</v>
      </c>
      <c r="I41" s="383">
        <f t="shared" si="1"/>
        <v>1880.6038469051452</v>
      </c>
      <c r="J41" s="383">
        <f t="shared" ca="1" si="2"/>
        <v>604.36775311126996</v>
      </c>
      <c r="K41" s="383">
        <f t="shared" ca="1" si="3"/>
        <v>0</v>
      </c>
      <c r="L41" s="383">
        <f t="shared" ca="1" si="26"/>
        <v>0</v>
      </c>
      <c r="M41" s="386">
        <f t="shared" si="4"/>
        <v>5203.5</v>
      </c>
      <c r="N41" s="386">
        <f t="shared" ca="1" si="27"/>
        <v>8171.9658025054305</v>
      </c>
      <c r="O41" s="493"/>
      <c r="P41" s="361">
        <f t="shared" ca="1" si="47"/>
        <v>10043.04583228752</v>
      </c>
      <c r="Q41" s="370">
        <f ca="1">Tax!Z17</f>
        <v>-1591.512041467962</v>
      </c>
      <c r="R41" s="570">
        <f t="shared" ca="1" si="28"/>
        <v>8451.5337908195579</v>
      </c>
      <c r="S41" s="377">
        <f t="shared" si="5"/>
        <v>811.48946933017874</v>
      </c>
      <c r="T41" s="378">
        <f t="shared" si="6"/>
        <v>1622.9789386603575</v>
      </c>
      <c r="U41" s="586">
        <f t="shared" ca="1" si="29"/>
        <v>135846.94210084551</v>
      </c>
      <c r="V41" s="379">
        <f t="shared" si="7"/>
        <v>1446.6183437731888</v>
      </c>
      <c r="W41" s="380">
        <f t="shared" si="30"/>
        <v>515.32993221819106</v>
      </c>
      <c r="X41" s="380">
        <f t="shared" si="8"/>
        <v>1208.7355062225399</v>
      </c>
      <c r="Y41" s="381">
        <f t="shared" si="9"/>
        <v>604.36775311126996</v>
      </c>
      <c r="Z41" s="382">
        <f t="shared" si="31"/>
        <v>604.36775311126996</v>
      </c>
      <c r="AA41" s="383">
        <f t="shared" si="10"/>
        <v>0</v>
      </c>
      <c r="AB41" s="384">
        <f t="shared" si="32"/>
        <v>18535.244930153149</v>
      </c>
      <c r="AC41" s="379">
        <f t="shared" ca="1" si="33"/>
        <v>3626.20651866762</v>
      </c>
      <c r="AD41" s="380">
        <f t="shared" ca="1" si="34"/>
        <v>1172.1740899046179</v>
      </c>
      <c r="AE41" s="380">
        <f t="shared" si="11"/>
        <v>0</v>
      </c>
      <c r="AF41" s="381">
        <f t="shared" si="12"/>
        <v>0</v>
      </c>
      <c r="AG41" s="382">
        <f t="shared" ca="1" si="35"/>
        <v>0</v>
      </c>
      <c r="AH41" s="383">
        <f t="shared" ca="1" si="13"/>
        <v>0</v>
      </c>
      <c r="AI41" s="384">
        <f t="shared" ca="1" si="36"/>
        <v>43870.850272059506</v>
      </c>
      <c r="AJ41" s="590">
        <f t="shared" ca="1" si="49"/>
        <v>8451.5337908195579</v>
      </c>
      <c r="AK41" s="385">
        <f t="shared" ca="1" si="15"/>
        <v>0</v>
      </c>
      <c r="AL41" s="591">
        <f t="shared" ca="1" si="37"/>
        <v>89906.744836050144</v>
      </c>
      <c r="AM41" s="388">
        <f t="shared" si="16"/>
        <v>811.48946933017874</v>
      </c>
      <c r="AN41" s="389">
        <f t="shared" si="38"/>
        <v>433.39165932064481</v>
      </c>
      <c r="AO41" s="390">
        <f t="shared" si="39"/>
        <v>15691.269772672316</v>
      </c>
      <c r="AP41" s="389">
        <f t="shared" si="17"/>
        <v>1622.9789386603575</v>
      </c>
      <c r="AQ41" s="389">
        <f t="shared" si="40"/>
        <v>866.78331864128961</v>
      </c>
      <c r="AR41" s="389">
        <f t="shared" si="41"/>
        <v>31382.539545344633</v>
      </c>
      <c r="AS41" s="384">
        <f t="shared" si="42"/>
        <v>18535.244930153149</v>
      </c>
      <c r="AT41" s="390">
        <f t="shared" si="18"/>
        <v>65609.054248170098</v>
      </c>
      <c r="AU41" s="373">
        <f t="shared" si="19"/>
        <v>0.2713954124389345</v>
      </c>
      <c r="AV41" s="387">
        <f t="shared" si="43"/>
        <v>173450</v>
      </c>
      <c r="AW41" s="387">
        <f t="shared" si="20"/>
        <v>98390.945751829902</v>
      </c>
      <c r="AX41" s="374">
        <f t="shared" si="44"/>
        <v>2023.5371285339793</v>
      </c>
      <c r="AY41" s="184">
        <f t="shared" si="48"/>
        <v>19</v>
      </c>
      <c r="AZ41" s="146"/>
      <c r="BA41" s="146"/>
      <c r="BB41" s="146"/>
      <c r="BC41" s="146"/>
      <c r="BD41" s="146"/>
      <c r="BE41" s="146"/>
    </row>
    <row r="42" spans="1:57">
      <c r="A42" s="360">
        <f t="shared" si="45"/>
        <v>20</v>
      </c>
      <c r="B42" s="182">
        <f t="shared" si="21"/>
        <v>247790.77877562068</v>
      </c>
      <c r="C42" s="361">
        <f t="shared" si="22"/>
        <v>16684.223489428474</v>
      </c>
      <c r="D42" s="375">
        <f t="shared" si="23"/>
        <v>2023.5371285339793</v>
      </c>
      <c r="E42" s="376">
        <f t="shared" si="46"/>
        <v>14660.686360894495</v>
      </c>
      <c r="F42" s="377">
        <f t="shared" ca="1" si="24"/>
        <v>4075.4082630253652</v>
      </c>
      <c r="G42" s="377">
        <f t="shared" ca="1" si="25"/>
        <v>18736.09462391986</v>
      </c>
      <c r="H42" s="382">
        <f t="shared" si="0"/>
        <v>495.58155755124136</v>
      </c>
      <c r="I42" s="383">
        <f t="shared" si="1"/>
        <v>1905.8892269162843</v>
      </c>
      <c r="J42" s="383">
        <f t="shared" ca="1" si="2"/>
        <v>19203.785355110602</v>
      </c>
      <c r="K42" s="383">
        <f t="shared" ca="1" si="3"/>
        <v>0</v>
      </c>
      <c r="L42" s="383">
        <f t="shared" ca="1" si="26"/>
        <v>0</v>
      </c>
      <c r="M42" s="386">
        <f t="shared" si="4"/>
        <v>5203.5</v>
      </c>
      <c r="N42" s="386">
        <f t="shared" ca="1" si="27"/>
        <v>26808.756139578127</v>
      </c>
      <c r="O42" s="493"/>
      <c r="P42" s="361">
        <f t="shared" ca="1" si="47"/>
        <v>-8072.6615156582666</v>
      </c>
      <c r="Q42" s="370">
        <f ca="1">Tax!AA17</f>
        <v>0</v>
      </c>
      <c r="R42" s="570">
        <f t="shared" ca="1" si="28"/>
        <v>-8072.6615156582666</v>
      </c>
      <c r="S42" s="377">
        <f t="shared" si="5"/>
        <v>834.21117447142376</v>
      </c>
      <c r="T42" s="378">
        <f t="shared" si="6"/>
        <v>1668.4223489428475</v>
      </c>
      <c r="U42" s="586">
        <f t="shared" ca="1" si="29"/>
        <v>130276.91410860152</v>
      </c>
      <c r="V42" s="379">
        <f t="shared" si="7"/>
        <v>1466.0686360894497</v>
      </c>
      <c r="W42" s="380">
        <f t="shared" si="30"/>
        <v>556.05734790459439</v>
      </c>
      <c r="X42" s="380">
        <f t="shared" si="8"/>
        <v>1238.9538938781034</v>
      </c>
      <c r="Y42" s="381">
        <f t="shared" si="9"/>
        <v>619.47694693905169</v>
      </c>
      <c r="Z42" s="382">
        <f t="shared" si="31"/>
        <v>619.47694693905169</v>
      </c>
      <c r="AA42" s="383">
        <f t="shared" si="10"/>
        <v>0</v>
      </c>
      <c r="AB42" s="384">
        <f t="shared" si="32"/>
        <v>19937.89396720814</v>
      </c>
      <c r="AC42" s="379">
        <f t="shared" ca="1" si="33"/>
        <v>3716.8616816343101</v>
      </c>
      <c r="AD42" s="380">
        <f t="shared" ca="1" si="34"/>
        <v>1316.1255081617851</v>
      </c>
      <c r="AE42" s="380">
        <f t="shared" si="11"/>
        <v>37168.616816343099</v>
      </c>
      <c r="AF42" s="381">
        <f t="shared" si="12"/>
        <v>18584.30840817155</v>
      </c>
      <c r="AG42" s="382">
        <f t="shared" ca="1" si="35"/>
        <v>18584.30840817155</v>
      </c>
      <c r="AH42" s="383">
        <f t="shared" ca="1" si="13"/>
        <v>0</v>
      </c>
      <c r="AI42" s="384">
        <f t="shared" ca="1" si="36"/>
        <v>30319.529053684051</v>
      </c>
      <c r="AJ42" s="590">
        <f t="shared" ca="1" si="49"/>
        <v>-8072.6615156582666</v>
      </c>
      <c r="AK42" s="385">
        <f t="shared" ca="1" si="15"/>
        <v>0</v>
      </c>
      <c r="AL42" s="591">
        <f t="shared" ca="1" si="37"/>
        <v>81834.083320391874</v>
      </c>
      <c r="AM42" s="388">
        <f t="shared" si="16"/>
        <v>834.21117447142376</v>
      </c>
      <c r="AN42" s="389">
        <f t="shared" si="38"/>
        <v>470.73809318016947</v>
      </c>
      <c r="AO42" s="390">
        <f t="shared" si="39"/>
        <v>16996.219040323911</v>
      </c>
      <c r="AP42" s="389">
        <f t="shared" si="17"/>
        <v>1668.4223489428475</v>
      </c>
      <c r="AQ42" s="389">
        <f t="shared" si="40"/>
        <v>941.47618636033894</v>
      </c>
      <c r="AR42" s="389">
        <f t="shared" si="41"/>
        <v>33992.438080647822</v>
      </c>
      <c r="AS42" s="384">
        <f t="shared" ca="1" si="42"/>
        <v>50257.423020892194</v>
      </c>
      <c r="AT42" s="390">
        <f t="shared" ca="1" si="18"/>
        <v>101246.08014186393</v>
      </c>
      <c r="AU42" s="373">
        <f t="shared" ca="1" si="19"/>
        <v>0.40859502779780277</v>
      </c>
      <c r="AV42" s="387">
        <f t="shared" si="43"/>
        <v>173450</v>
      </c>
      <c r="AW42" s="387">
        <f t="shared" ca="1" si="20"/>
        <v>62753.919858136069</v>
      </c>
      <c r="AX42" s="374">
        <f t="shared" si="44"/>
        <v>0</v>
      </c>
      <c r="AY42" s="184">
        <f t="shared" si="48"/>
        <v>20</v>
      </c>
      <c r="AZ42" s="146">
        <v>6.1</v>
      </c>
      <c r="BA42" s="146"/>
      <c r="BB42" s="146"/>
      <c r="BC42" s="146"/>
      <c r="BD42" s="146"/>
      <c r="BE42" s="146"/>
    </row>
    <row r="43" spans="1:57">
      <c r="A43" s="360">
        <f t="shared" si="45"/>
        <v>21</v>
      </c>
      <c r="B43" s="182">
        <f t="shared" si="21"/>
        <v>253985.54824501119</v>
      </c>
      <c r="C43" s="361">
        <f t="shared" si="22"/>
        <v>17151.381747132473</v>
      </c>
      <c r="D43" s="375">
        <f t="shared" si="23"/>
        <v>0</v>
      </c>
      <c r="E43" s="376">
        <f t="shared" si="46"/>
        <v>17151.381747132473</v>
      </c>
      <c r="F43" s="377">
        <f t="shared" ca="1" si="24"/>
        <v>3908.3074232580452</v>
      </c>
      <c r="G43" s="377">
        <f t="shared" ca="1" si="25"/>
        <v>21059.689170390517</v>
      </c>
      <c r="H43" s="382">
        <f t="shared" si="0"/>
        <v>507.97109649002238</v>
      </c>
      <c r="I43" s="383">
        <f t="shared" si="1"/>
        <v>2229.6796271272215</v>
      </c>
      <c r="J43" s="383">
        <f t="shared" ca="1" si="2"/>
        <v>634.96387061252801</v>
      </c>
      <c r="K43" s="383">
        <f t="shared" ca="1" si="3"/>
        <v>0</v>
      </c>
      <c r="L43" s="383">
        <f t="shared" ca="1" si="26"/>
        <v>0</v>
      </c>
      <c r="M43" s="386">
        <f t="shared" si="4"/>
        <v>5203.5</v>
      </c>
      <c r="N43" s="386">
        <f t="shared" ca="1" si="27"/>
        <v>8576.1145942297717</v>
      </c>
      <c r="O43" s="493"/>
      <c r="P43" s="361">
        <f t="shared" ca="1" si="47"/>
        <v>12483.574576160745</v>
      </c>
      <c r="Q43" s="370">
        <f ca="1">Tax!AB17</f>
        <v>-204.74014816213744</v>
      </c>
      <c r="R43" s="570">
        <f t="shared" ca="1" si="28"/>
        <v>12278.834427998607</v>
      </c>
      <c r="S43" s="377">
        <f t="shared" si="5"/>
        <v>857.56908735662364</v>
      </c>
      <c r="T43" s="378">
        <f t="shared" si="6"/>
        <v>1715.1381747132473</v>
      </c>
      <c r="U43" s="586">
        <f t="shared" ca="1" si="29"/>
        <v>145128.45579866998</v>
      </c>
      <c r="V43" s="379">
        <f t="shared" si="7"/>
        <v>1715.1381747132473</v>
      </c>
      <c r="W43" s="380">
        <f t="shared" si="30"/>
        <v>598.1368190162442</v>
      </c>
      <c r="X43" s="380">
        <f t="shared" si="8"/>
        <v>1269.927741225056</v>
      </c>
      <c r="Y43" s="381">
        <f t="shared" si="9"/>
        <v>634.96387061252801</v>
      </c>
      <c r="Z43" s="382">
        <f t="shared" si="31"/>
        <v>634.96387061252801</v>
      </c>
      <c r="AA43" s="383">
        <f t="shared" si="10"/>
        <v>0</v>
      </c>
      <c r="AB43" s="384">
        <f t="shared" si="32"/>
        <v>21616.205090325104</v>
      </c>
      <c r="AC43" s="379">
        <f t="shared" ca="1" si="33"/>
        <v>3809.7832236751678</v>
      </c>
      <c r="AD43" s="380">
        <f t="shared" ca="1" si="34"/>
        <v>909.58587161052151</v>
      </c>
      <c r="AE43" s="380">
        <f t="shared" si="11"/>
        <v>0</v>
      </c>
      <c r="AF43" s="381">
        <f t="shared" si="12"/>
        <v>0</v>
      </c>
      <c r="AG43" s="382">
        <f t="shared" ca="1" si="35"/>
        <v>0</v>
      </c>
      <c r="AH43" s="383">
        <f t="shared" ca="1" si="13"/>
        <v>0</v>
      </c>
      <c r="AI43" s="384">
        <f t="shared" ca="1" si="36"/>
        <v>35038.89814896974</v>
      </c>
      <c r="AJ43" s="590">
        <f t="shared" ca="1" si="49"/>
        <v>12278.834427998607</v>
      </c>
      <c r="AK43" s="385">
        <f t="shared" ca="1" si="15"/>
        <v>0</v>
      </c>
      <c r="AL43" s="591">
        <f t="shared" ca="1" si="37"/>
        <v>94112.917748390479</v>
      </c>
      <c r="AM43" s="388">
        <f t="shared" si="16"/>
        <v>857.56908735662364</v>
      </c>
      <c r="AN43" s="389">
        <f t="shared" si="38"/>
        <v>509.88657120971732</v>
      </c>
      <c r="AO43" s="390">
        <f t="shared" si="39"/>
        <v>18363.674698890252</v>
      </c>
      <c r="AP43" s="389">
        <f t="shared" si="17"/>
        <v>1715.1381747132473</v>
      </c>
      <c r="AQ43" s="389">
        <f t="shared" si="40"/>
        <v>1019.7731424194346</v>
      </c>
      <c r="AR43" s="389">
        <f t="shared" si="41"/>
        <v>36727.349397780505</v>
      </c>
      <c r="AS43" s="384">
        <f t="shared" si="42"/>
        <v>21616.205090325104</v>
      </c>
      <c r="AT43" s="390">
        <f t="shared" si="18"/>
        <v>76707.229186995857</v>
      </c>
      <c r="AU43" s="373">
        <f t="shared" si="19"/>
        <v>0.30201414890346051</v>
      </c>
      <c r="AV43" s="387">
        <f t="shared" si="43"/>
        <v>173450</v>
      </c>
      <c r="AW43" s="387">
        <f t="shared" si="20"/>
        <v>87292.770813004143</v>
      </c>
      <c r="AX43" s="374">
        <f t="shared" si="44"/>
        <v>0</v>
      </c>
      <c r="AY43" s="184">
        <f t="shared" si="48"/>
        <v>21</v>
      </c>
      <c r="AZ43" s="146"/>
      <c r="BA43" s="146"/>
      <c r="BB43" s="146"/>
      <c r="BC43" s="146"/>
      <c r="BD43" s="146"/>
      <c r="BE43" s="146"/>
    </row>
    <row r="44" spans="1:57">
      <c r="A44" s="360">
        <f t="shared" si="45"/>
        <v>22</v>
      </c>
      <c r="B44" s="182">
        <f t="shared" si="21"/>
        <v>260335.18695113645</v>
      </c>
      <c r="C44" s="361">
        <f t="shared" si="22"/>
        <v>17631.620436052184</v>
      </c>
      <c r="D44" s="375">
        <f t="shared" si="23"/>
        <v>0</v>
      </c>
      <c r="E44" s="376">
        <f t="shared" si="46"/>
        <v>17631.620436052184</v>
      </c>
      <c r="F44" s="377">
        <f t="shared" ca="1" si="24"/>
        <v>4353.8536739600995</v>
      </c>
      <c r="G44" s="377">
        <f t="shared" ca="1" si="25"/>
        <v>21985.474110012285</v>
      </c>
      <c r="H44" s="382">
        <f t="shared" si="0"/>
        <v>520.6703739022729</v>
      </c>
      <c r="I44" s="383">
        <f t="shared" si="1"/>
        <v>2292.1106566867838</v>
      </c>
      <c r="J44" s="383">
        <f t="shared" ca="1" si="2"/>
        <v>650.8379673778411</v>
      </c>
      <c r="K44" s="383">
        <f t="shared" ca="1" si="3"/>
        <v>0</v>
      </c>
      <c r="L44" s="383">
        <f t="shared" ca="1" si="26"/>
        <v>0</v>
      </c>
      <c r="M44" s="386">
        <f t="shared" si="4"/>
        <v>5203.5</v>
      </c>
      <c r="N44" s="386">
        <f t="shared" ca="1" si="27"/>
        <v>8667.118997966898</v>
      </c>
      <c r="O44" s="493"/>
      <c r="P44" s="361">
        <f t="shared" ca="1" si="47"/>
        <v>13318.355112045387</v>
      </c>
      <c r="Q44" s="370">
        <f ca="1">Tax!AC17</f>
        <v>-2213.820804621957</v>
      </c>
      <c r="R44" s="570">
        <f t="shared" ca="1" si="28"/>
        <v>11104.53430742343</v>
      </c>
      <c r="S44" s="377">
        <f t="shared" si="5"/>
        <v>881.58102180260926</v>
      </c>
      <c r="T44" s="378">
        <f t="shared" si="6"/>
        <v>1763.1620436052185</v>
      </c>
      <c r="U44" s="586">
        <f t="shared" ca="1" si="29"/>
        <v>158877.73317150126</v>
      </c>
      <c r="V44" s="379">
        <f t="shared" si="7"/>
        <v>1763.1620436052185</v>
      </c>
      <c r="W44" s="380">
        <f t="shared" si="30"/>
        <v>648.48615270975313</v>
      </c>
      <c r="X44" s="380">
        <f t="shared" si="8"/>
        <v>1301.6759347556822</v>
      </c>
      <c r="Y44" s="381">
        <f t="shared" si="9"/>
        <v>650.8379673778411</v>
      </c>
      <c r="Z44" s="382">
        <f t="shared" si="31"/>
        <v>650.8379673778411</v>
      </c>
      <c r="AA44" s="383">
        <f t="shared" si="10"/>
        <v>0</v>
      </c>
      <c r="AB44" s="384">
        <f t="shared" si="32"/>
        <v>23377.015319262235</v>
      </c>
      <c r="AC44" s="379">
        <f t="shared" ca="1" si="33"/>
        <v>3905.0278042670466</v>
      </c>
      <c r="AD44" s="380">
        <f t="shared" ca="1" si="34"/>
        <v>1051.1669444690922</v>
      </c>
      <c r="AE44" s="380">
        <f t="shared" si="11"/>
        <v>0</v>
      </c>
      <c r="AF44" s="381">
        <f t="shared" si="12"/>
        <v>0</v>
      </c>
      <c r="AG44" s="382">
        <f t="shared" ca="1" si="35"/>
        <v>0</v>
      </c>
      <c r="AH44" s="383">
        <f t="shared" ca="1" si="13"/>
        <v>0</v>
      </c>
      <c r="AI44" s="384">
        <f t="shared" ca="1" si="36"/>
        <v>39995.092897705879</v>
      </c>
      <c r="AJ44" s="590">
        <f t="shared" ca="1" si="49"/>
        <v>11104.53430742343</v>
      </c>
      <c r="AK44" s="385">
        <f t="shared" ca="1" si="15"/>
        <v>0</v>
      </c>
      <c r="AL44" s="591">
        <f t="shared" ca="1" si="37"/>
        <v>105217.4520558139</v>
      </c>
      <c r="AM44" s="388">
        <f t="shared" si="16"/>
        <v>881.58102180260926</v>
      </c>
      <c r="AN44" s="389">
        <f t="shared" si="38"/>
        <v>550.91024096670753</v>
      </c>
      <c r="AO44" s="390">
        <f t="shared" si="39"/>
        <v>19796.165961659568</v>
      </c>
      <c r="AP44" s="389">
        <f t="shared" si="17"/>
        <v>1763.1620436052185</v>
      </c>
      <c r="AQ44" s="389">
        <f t="shared" si="40"/>
        <v>1101.8204819334151</v>
      </c>
      <c r="AR44" s="389">
        <f t="shared" si="41"/>
        <v>39592.331923319136</v>
      </c>
      <c r="AS44" s="384">
        <f t="shared" si="42"/>
        <v>23377.015319262235</v>
      </c>
      <c r="AT44" s="390">
        <f t="shared" si="18"/>
        <v>82765.513204240939</v>
      </c>
      <c r="AU44" s="373">
        <f t="shared" si="19"/>
        <v>0.31791904188416753</v>
      </c>
      <c r="AV44" s="387">
        <f t="shared" si="43"/>
        <v>173450</v>
      </c>
      <c r="AW44" s="387">
        <f t="shared" si="20"/>
        <v>81234.486795759061</v>
      </c>
      <c r="AX44" s="374">
        <f t="shared" si="44"/>
        <v>0</v>
      </c>
      <c r="AY44" s="184">
        <f t="shared" si="48"/>
        <v>22</v>
      </c>
      <c r="AZ44" s="146"/>
      <c r="BA44" s="146"/>
      <c r="BB44" s="146"/>
      <c r="BC44" s="146"/>
      <c r="BD44" s="146"/>
      <c r="BE44" s="146"/>
    </row>
    <row r="45" spans="1:57">
      <c r="A45" s="360">
        <f t="shared" si="45"/>
        <v>23</v>
      </c>
      <c r="B45" s="182">
        <f t="shared" si="21"/>
        <v>266843.56662491482</v>
      </c>
      <c r="C45" s="361">
        <f t="shared" si="22"/>
        <v>18125.305808261644</v>
      </c>
      <c r="D45" s="375">
        <f t="shared" si="23"/>
        <v>0</v>
      </c>
      <c r="E45" s="376">
        <f t="shared" si="46"/>
        <v>18125.305808261644</v>
      </c>
      <c r="F45" s="377">
        <f t="shared" ca="1" si="24"/>
        <v>4766.3319951450376</v>
      </c>
      <c r="G45" s="377">
        <f t="shared" ca="1" si="25"/>
        <v>22891.63780340668</v>
      </c>
      <c r="H45" s="382">
        <f t="shared" si="0"/>
        <v>533.68713324982969</v>
      </c>
      <c r="I45" s="383">
        <f t="shared" si="1"/>
        <v>2356.289755074014</v>
      </c>
      <c r="J45" s="383">
        <f t="shared" ca="1" si="2"/>
        <v>667.10891656228705</v>
      </c>
      <c r="K45" s="383">
        <f t="shared" ca="1" si="3"/>
        <v>0</v>
      </c>
      <c r="L45" s="383">
        <f t="shared" ca="1" si="26"/>
        <v>0</v>
      </c>
      <c r="M45" s="386">
        <f t="shared" si="4"/>
        <v>5203.5</v>
      </c>
      <c r="N45" s="386">
        <f t="shared" ca="1" si="27"/>
        <v>8760.5858048861301</v>
      </c>
      <c r="O45" s="493"/>
      <c r="P45" s="361">
        <f t="shared" ca="1" si="47"/>
        <v>14131.05199852055</v>
      </c>
      <c r="Q45" s="370">
        <f ca="1">Tax!AD17</f>
        <v>-2368.2332130522377</v>
      </c>
      <c r="R45" s="570">
        <f t="shared" ca="1" si="28"/>
        <v>11762.818785468313</v>
      </c>
      <c r="S45" s="377">
        <f t="shared" si="5"/>
        <v>906.26529041308231</v>
      </c>
      <c r="T45" s="378">
        <f t="shared" si="6"/>
        <v>1812.5305808261646</v>
      </c>
      <c r="U45" s="586">
        <f t="shared" ca="1" si="29"/>
        <v>173359.34782820882</v>
      </c>
      <c r="V45" s="379">
        <f t="shared" si="7"/>
        <v>1812.5305808261646</v>
      </c>
      <c r="W45" s="380">
        <f t="shared" si="30"/>
        <v>701.31045957786705</v>
      </c>
      <c r="X45" s="380">
        <f t="shared" si="8"/>
        <v>1334.2178331245741</v>
      </c>
      <c r="Y45" s="381">
        <f t="shared" si="9"/>
        <v>667.10891656228705</v>
      </c>
      <c r="Z45" s="382">
        <f t="shared" si="31"/>
        <v>667.10891656228705</v>
      </c>
      <c r="AA45" s="383">
        <f t="shared" si="10"/>
        <v>0</v>
      </c>
      <c r="AB45" s="384">
        <f t="shared" si="32"/>
        <v>25223.747443103981</v>
      </c>
      <c r="AC45" s="379">
        <f t="shared" ca="1" si="33"/>
        <v>4002.6534993737223</v>
      </c>
      <c r="AD45" s="380">
        <f t="shared" ca="1" si="34"/>
        <v>1199.8527869311763</v>
      </c>
      <c r="AE45" s="380">
        <f t="shared" si="11"/>
        <v>0</v>
      </c>
      <c r="AF45" s="381">
        <f t="shared" si="12"/>
        <v>0</v>
      </c>
      <c r="AG45" s="382">
        <f t="shared" ca="1" si="35"/>
        <v>0</v>
      </c>
      <c r="AH45" s="383">
        <f t="shared" ca="1" si="13"/>
        <v>0</v>
      </c>
      <c r="AI45" s="384">
        <f t="shared" ca="1" si="36"/>
        <v>45197.599184010774</v>
      </c>
      <c r="AJ45" s="590">
        <f t="shared" ca="1" si="49"/>
        <v>11762.818785468313</v>
      </c>
      <c r="AK45" s="385">
        <f t="shared" ca="1" si="15"/>
        <v>0</v>
      </c>
      <c r="AL45" s="591">
        <f t="shared" ca="1" si="37"/>
        <v>116980.27084128221</v>
      </c>
      <c r="AM45" s="388">
        <f t="shared" si="16"/>
        <v>906.26529041308231</v>
      </c>
      <c r="AN45" s="389">
        <f t="shared" si="38"/>
        <v>593.88497884978699</v>
      </c>
      <c r="AO45" s="390">
        <f t="shared" si="39"/>
        <v>21296.316230922435</v>
      </c>
      <c r="AP45" s="389">
        <f t="shared" si="17"/>
        <v>1812.5305808261646</v>
      </c>
      <c r="AQ45" s="389">
        <f t="shared" si="40"/>
        <v>1187.769957699574</v>
      </c>
      <c r="AR45" s="389">
        <f t="shared" si="41"/>
        <v>42592.632461844871</v>
      </c>
      <c r="AS45" s="384">
        <f t="shared" si="42"/>
        <v>25223.747443103981</v>
      </c>
      <c r="AT45" s="390">
        <f t="shared" si="18"/>
        <v>89112.696135871287</v>
      </c>
      <c r="AU45" s="373">
        <f t="shared" si="19"/>
        <v>0.33395107576691696</v>
      </c>
      <c r="AV45" s="387">
        <f t="shared" si="43"/>
        <v>173450</v>
      </c>
      <c r="AW45" s="387">
        <f t="shared" si="20"/>
        <v>74887.303864128713</v>
      </c>
      <c r="AX45" s="374">
        <f t="shared" si="44"/>
        <v>0</v>
      </c>
      <c r="AY45" s="184">
        <f t="shared" si="48"/>
        <v>23</v>
      </c>
      <c r="AZ45" s="146"/>
      <c r="BA45" s="146"/>
      <c r="BB45" s="146"/>
      <c r="BC45" s="146"/>
      <c r="BD45" s="146"/>
      <c r="BE45" s="146"/>
    </row>
    <row r="46" spans="1:57">
      <c r="A46" s="360">
        <f t="shared" si="45"/>
        <v>24</v>
      </c>
      <c r="B46" s="182">
        <f t="shared" si="21"/>
        <v>273514.65579053765</v>
      </c>
      <c r="C46" s="361">
        <f t="shared" si="22"/>
        <v>18632.814370892971</v>
      </c>
      <c r="D46" s="375">
        <f t="shared" si="23"/>
        <v>0</v>
      </c>
      <c r="E46" s="376">
        <f t="shared" si="46"/>
        <v>18632.814370892971</v>
      </c>
      <c r="F46" s="377">
        <f t="shared" ca="1" si="24"/>
        <v>5200.7804348462641</v>
      </c>
      <c r="G46" s="377">
        <f t="shared" ca="1" si="25"/>
        <v>23833.594805739234</v>
      </c>
      <c r="H46" s="382">
        <f t="shared" si="0"/>
        <v>547.02931158107526</v>
      </c>
      <c r="I46" s="383">
        <f t="shared" si="1"/>
        <v>2422.2658682160863</v>
      </c>
      <c r="J46" s="383">
        <f t="shared" ca="1" si="2"/>
        <v>683.78663947634413</v>
      </c>
      <c r="K46" s="383">
        <f t="shared" ca="1" si="3"/>
        <v>0</v>
      </c>
      <c r="L46" s="383">
        <f t="shared" ca="1" si="26"/>
        <v>0</v>
      </c>
      <c r="M46" s="386">
        <f t="shared" si="4"/>
        <v>5203.5</v>
      </c>
      <c r="N46" s="386">
        <f t="shared" ca="1" si="27"/>
        <v>8856.581819273506</v>
      </c>
      <c r="O46" s="493"/>
      <c r="P46" s="361">
        <f t="shared" ca="1" si="47"/>
        <v>14977.012986465728</v>
      </c>
      <c r="Q46" s="370">
        <f ca="1">Tax!AE17</f>
        <v>-2528.9658007618214</v>
      </c>
      <c r="R46" s="570">
        <f t="shared" ca="1" si="28"/>
        <v>12448.047185703907</v>
      </c>
      <c r="S46" s="377">
        <f t="shared" si="5"/>
        <v>931.64071854464862</v>
      </c>
      <c r="T46" s="378">
        <f t="shared" si="6"/>
        <v>1863.2814370892972</v>
      </c>
      <c r="U46" s="586">
        <f t="shared" ca="1" si="29"/>
        <v>188602.31716954667</v>
      </c>
      <c r="V46" s="379">
        <f t="shared" si="7"/>
        <v>1863.2814370892972</v>
      </c>
      <c r="W46" s="380">
        <f t="shared" si="30"/>
        <v>756.7124232931194</v>
      </c>
      <c r="X46" s="380">
        <f t="shared" si="8"/>
        <v>1367.5732789526883</v>
      </c>
      <c r="Y46" s="381">
        <f t="shared" si="9"/>
        <v>683.78663947634413</v>
      </c>
      <c r="Z46" s="382">
        <f t="shared" si="31"/>
        <v>683.78663947634413</v>
      </c>
      <c r="AA46" s="383">
        <f t="shared" si="10"/>
        <v>0</v>
      </c>
      <c r="AB46" s="384">
        <f t="shared" si="32"/>
        <v>27159.954664010053</v>
      </c>
      <c r="AC46" s="379">
        <f t="shared" ca="1" si="33"/>
        <v>4102.7198368580648</v>
      </c>
      <c r="AD46" s="380">
        <f t="shared" ca="1" si="34"/>
        <v>1355.9279755203231</v>
      </c>
      <c r="AE46" s="380">
        <f t="shared" si="11"/>
        <v>0</v>
      </c>
      <c r="AF46" s="381">
        <f t="shared" si="12"/>
        <v>0</v>
      </c>
      <c r="AG46" s="382">
        <f t="shared" ca="1" si="35"/>
        <v>0</v>
      </c>
      <c r="AH46" s="383">
        <f t="shared" ca="1" si="13"/>
        <v>0</v>
      </c>
      <c r="AI46" s="384">
        <f t="shared" ca="1" si="36"/>
        <v>50656.246996389164</v>
      </c>
      <c r="AJ46" s="590">
        <f t="shared" ca="1" si="49"/>
        <v>12448.047185703907</v>
      </c>
      <c r="AK46" s="385">
        <f t="shared" ca="1" si="15"/>
        <v>0</v>
      </c>
      <c r="AL46" s="591">
        <f t="shared" ca="1" si="37"/>
        <v>129428.31802698612</v>
      </c>
      <c r="AM46" s="388">
        <f t="shared" si="16"/>
        <v>931.64071854464862</v>
      </c>
      <c r="AN46" s="389">
        <f t="shared" si="38"/>
        <v>638.88948692767303</v>
      </c>
      <c r="AO46" s="390">
        <f t="shared" si="39"/>
        <v>22866.846436394757</v>
      </c>
      <c r="AP46" s="389">
        <f t="shared" si="17"/>
        <v>1863.2814370892972</v>
      </c>
      <c r="AQ46" s="389">
        <f t="shared" si="40"/>
        <v>1277.7789738553461</v>
      </c>
      <c r="AR46" s="389">
        <f t="shared" si="41"/>
        <v>45733.692872789514</v>
      </c>
      <c r="AS46" s="384">
        <f t="shared" si="42"/>
        <v>27159.954664010053</v>
      </c>
      <c r="AT46" s="390">
        <f t="shared" si="18"/>
        <v>95760.49397319433</v>
      </c>
      <c r="AU46" s="373">
        <f t="shared" si="19"/>
        <v>0.35011101579335263</v>
      </c>
      <c r="AV46" s="387">
        <f t="shared" si="43"/>
        <v>173450</v>
      </c>
      <c r="AW46" s="387">
        <f t="shared" si="20"/>
        <v>68239.50602680567</v>
      </c>
      <c r="AX46" s="374">
        <f t="shared" si="44"/>
        <v>0</v>
      </c>
      <c r="AY46" s="184">
        <f t="shared" si="48"/>
        <v>24</v>
      </c>
      <c r="AZ46" s="146"/>
      <c r="BA46" s="146"/>
      <c r="BB46" s="146"/>
      <c r="BC46" s="146"/>
      <c r="BD46" s="146"/>
      <c r="BE46" s="146"/>
    </row>
    <row r="47" spans="1:57">
      <c r="A47" s="360">
        <f t="shared" si="45"/>
        <v>25</v>
      </c>
      <c r="B47" s="182">
        <f t="shared" si="21"/>
        <v>280352.52218530106</v>
      </c>
      <c r="C47" s="361">
        <f t="shared" si="22"/>
        <v>19154.533173277974</v>
      </c>
      <c r="D47" s="375">
        <f t="shared" si="23"/>
        <v>0</v>
      </c>
      <c r="E47" s="376">
        <f t="shared" si="46"/>
        <v>19154.533173277974</v>
      </c>
      <c r="F47" s="377">
        <f t="shared" ca="1" si="24"/>
        <v>5658.0695150864003</v>
      </c>
      <c r="G47" s="377">
        <f t="shared" ca="1" si="25"/>
        <v>24812.602688364375</v>
      </c>
      <c r="H47" s="382">
        <f t="shared" si="0"/>
        <v>560.70504437060208</v>
      </c>
      <c r="I47" s="383">
        <f t="shared" si="1"/>
        <v>2490.0893125261368</v>
      </c>
      <c r="J47" s="383">
        <f t="shared" ca="1" si="2"/>
        <v>700.88130546325272</v>
      </c>
      <c r="K47" s="383">
        <f t="shared" ca="1" si="3"/>
        <v>0</v>
      </c>
      <c r="L47" s="383">
        <f t="shared" ca="1" si="26"/>
        <v>0</v>
      </c>
      <c r="M47" s="386">
        <f t="shared" si="4"/>
        <v>5203.5</v>
      </c>
      <c r="N47" s="386">
        <f t="shared" ca="1" si="27"/>
        <v>8955.1756623599922</v>
      </c>
      <c r="O47" s="493"/>
      <c r="P47" s="361">
        <f t="shared" ca="1" si="47"/>
        <v>15857.427026004383</v>
      </c>
      <c r="Q47" s="370">
        <f ca="1">Tax!AE17</f>
        <v>-2528.9658007618214</v>
      </c>
      <c r="R47" s="570">
        <f t="shared" ca="1" si="28"/>
        <v>13328.461225242561</v>
      </c>
      <c r="S47" s="377">
        <f t="shared" si="5"/>
        <v>957.72665866389877</v>
      </c>
      <c r="T47" s="378">
        <f t="shared" si="6"/>
        <v>1915.4533173277975</v>
      </c>
      <c r="U47" s="586">
        <f t="shared" ca="1" si="29"/>
        <v>204803.95837078092</v>
      </c>
      <c r="V47" s="379">
        <f t="shared" si="7"/>
        <v>1915.4533173277975</v>
      </c>
      <c r="W47" s="380">
        <f t="shared" si="30"/>
        <v>814.79863992030153</v>
      </c>
      <c r="X47" s="380">
        <f t="shared" si="8"/>
        <v>1401.7626109265054</v>
      </c>
      <c r="Y47" s="381">
        <f t="shared" si="9"/>
        <v>700.88130546325272</v>
      </c>
      <c r="Z47" s="382">
        <f t="shared" si="31"/>
        <v>700.88130546325272</v>
      </c>
      <c r="AA47" s="383">
        <f t="shared" si="10"/>
        <v>0</v>
      </c>
      <c r="AB47" s="384">
        <f t="shared" si="32"/>
        <v>29189.3253157949</v>
      </c>
      <c r="AC47" s="379">
        <f t="shared" ca="1" si="33"/>
        <v>4205.2878327795161</v>
      </c>
      <c r="AD47" s="380">
        <f t="shared" ca="1" si="34"/>
        <v>1519.6874098916749</v>
      </c>
      <c r="AE47" s="380">
        <f t="shared" si="11"/>
        <v>0</v>
      </c>
      <c r="AF47" s="381">
        <f t="shared" si="12"/>
        <v>0</v>
      </c>
      <c r="AG47" s="382">
        <f t="shared" ca="1" si="35"/>
        <v>0</v>
      </c>
      <c r="AH47" s="383">
        <f t="shared" ca="1" si="13"/>
        <v>0</v>
      </c>
      <c r="AI47" s="384">
        <f t="shared" ca="1" si="36"/>
        <v>56381.222239060357</v>
      </c>
      <c r="AJ47" s="590">
        <f t="shared" ca="1" si="49"/>
        <v>13328.461225242561</v>
      </c>
      <c r="AK47" s="385">
        <f t="shared" ca="1" si="15"/>
        <v>0</v>
      </c>
      <c r="AL47" s="591">
        <f t="shared" ca="1" si="37"/>
        <v>142756.77925222868</v>
      </c>
      <c r="AM47" s="388">
        <f t="shared" si="16"/>
        <v>957.72665866389877</v>
      </c>
      <c r="AN47" s="389">
        <f t="shared" si="38"/>
        <v>686.00539309184273</v>
      </c>
      <c r="AO47" s="390">
        <f t="shared" si="39"/>
        <v>24510.578488150499</v>
      </c>
      <c r="AP47" s="389">
        <f t="shared" si="17"/>
        <v>1915.4533173277975</v>
      </c>
      <c r="AQ47" s="389">
        <f t="shared" si="40"/>
        <v>1372.0107861836855</v>
      </c>
      <c r="AR47" s="389">
        <f t="shared" si="41"/>
        <v>49021.156976300997</v>
      </c>
      <c r="AS47" s="384">
        <f t="shared" si="42"/>
        <v>29189.3253157949</v>
      </c>
      <c r="AT47" s="390">
        <f t="shared" si="18"/>
        <v>102721.06078024639</v>
      </c>
      <c r="AU47" s="373">
        <f t="shared" si="19"/>
        <v>0.3663996313625178</v>
      </c>
      <c r="AV47" s="387">
        <f t="shared" si="43"/>
        <v>173450</v>
      </c>
      <c r="AW47" s="387">
        <f t="shared" si="20"/>
        <v>61278.939219753607</v>
      </c>
      <c r="AX47" s="374">
        <f t="shared" si="44"/>
        <v>0</v>
      </c>
      <c r="AY47" s="184">
        <f t="shared" si="48"/>
        <v>25</v>
      </c>
      <c r="AZ47" s="146"/>
      <c r="BA47" s="146"/>
      <c r="BB47" s="146"/>
      <c r="BC47" s="146"/>
      <c r="BD47" s="146"/>
      <c r="BE47" s="146"/>
    </row>
    <row r="48" spans="1:57">
      <c r="A48" s="360">
        <f t="shared" si="45"/>
        <v>26</v>
      </c>
      <c r="B48" s="182">
        <f t="shared" si="21"/>
        <v>287361.33523993357</v>
      </c>
      <c r="C48" s="361">
        <f t="shared" si="22"/>
        <v>19690.860102129758</v>
      </c>
      <c r="D48" s="375">
        <f t="shared" si="23"/>
        <v>0</v>
      </c>
      <c r="E48" s="376">
        <f t="shared" si="46"/>
        <v>19690.860102129758</v>
      </c>
      <c r="F48" s="377">
        <f t="shared" ca="1" si="24"/>
        <v>6144.1187511234275</v>
      </c>
      <c r="G48" s="377">
        <f t="shared" ca="1" si="25"/>
        <v>25834.978853253186</v>
      </c>
      <c r="H48" s="382">
        <f t="shared" si="0"/>
        <v>574.72267047986713</v>
      </c>
      <c r="I48" s="383">
        <f t="shared" si="1"/>
        <v>2559.8118132768686</v>
      </c>
      <c r="J48" s="383">
        <f t="shared" ca="1" si="2"/>
        <v>718.40333809983395</v>
      </c>
      <c r="K48" s="383">
        <f t="shared" ca="1" si="3"/>
        <v>0</v>
      </c>
      <c r="L48" s="383">
        <f t="shared" ca="1" si="26"/>
        <v>0</v>
      </c>
      <c r="M48" s="386">
        <f t="shared" si="4"/>
        <v>5203.5</v>
      </c>
      <c r="N48" s="386">
        <f t="shared" ca="1" si="27"/>
        <v>9056.4378218565689</v>
      </c>
      <c r="O48" s="493"/>
      <c r="P48" s="361">
        <f t="shared" ca="1" si="47"/>
        <v>16778.541031396617</v>
      </c>
      <c r="Q48" s="370">
        <f ca="1">Tax!AG17</f>
        <v>-2871.2561292986902</v>
      </c>
      <c r="R48" s="570">
        <f t="shared" ca="1" si="28"/>
        <v>13907.284902097927</v>
      </c>
      <c r="S48" s="377">
        <f t="shared" si="5"/>
        <v>984.54300510648795</v>
      </c>
      <c r="T48" s="378">
        <f t="shared" si="6"/>
        <v>1969.0860102129759</v>
      </c>
      <c r="U48" s="586">
        <f t="shared" ca="1" si="29"/>
        <v>221664.8722881983</v>
      </c>
      <c r="V48" s="379">
        <f t="shared" si="7"/>
        <v>1969.0860102129759</v>
      </c>
      <c r="W48" s="380">
        <f t="shared" si="30"/>
        <v>875.67975947384696</v>
      </c>
      <c r="X48" s="380">
        <f t="shared" si="8"/>
        <v>1436.8066761996679</v>
      </c>
      <c r="Y48" s="381">
        <f t="shared" si="9"/>
        <v>718.40333809983395</v>
      </c>
      <c r="Z48" s="382">
        <f t="shared" si="31"/>
        <v>718.40333809983395</v>
      </c>
      <c r="AA48" s="383">
        <f t="shared" si="10"/>
        <v>0</v>
      </c>
      <c r="AB48" s="384">
        <f t="shared" si="32"/>
        <v>31315.687747381889</v>
      </c>
      <c r="AC48" s="379">
        <f t="shared" ca="1" si="33"/>
        <v>4310.4200285990037</v>
      </c>
      <c r="AD48" s="380">
        <f t="shared" ca="1" si="34"/>
        <v>1691.4366671718105</v>
      </c>
      <c r="AE48" s="380">
        <f t="shared" si="11"/>
        <v>0</v>
      </c>
      <c r="AF48" s="381">
        <f t="shared" si="12"/>
        <v>0</v>
      </c>
      <c r="AG48" s="382">
        <f t="shared" ca="1" si="35"/>
        <v>0</v>
      </c>
      <c r="AH48" s="383">
        <f t="shared" ca="1" si="13"/>
        <v>0</v>
      </c>
      <c r="AI48" s="384">
        <f t="shared" ca="1" si="36"/>
        <v>62383.078934831174</v>
      </c>
      <c r="AJ48" s="590">
        <f t="shared" ca="1" si="49"/>
        <v>13907.284902097927</v>
      </c>
      <c r="AK48" s="385">
        <f t="shared" ca="1" si="15"/>
        <v>0</v>
      </c>
      <c r="AL48" s="591">
        <f t="shared" ca="1" si="37"/>
        <v>156664.0641543266</v>
      </c>
      <c r="AM48" s="388">
        <f t="shared" si="16"/>
        <v>984.54300510648795</v>
      </c>
      <c r="AN48" s="389">
        <f t="shared" si="38"/>
        <v>735.31735464451492</v>
      </c>
      <c r="AO48" s="390">
        <f t="shared" si="39"/>
        <v>26230.438847901503</v>
      </c>
      <c r="AP48" s="389">
        <f t="shared" si="17"/>
        <v>1969.0860102129759</v>
      </c>
      <c r="AQ48" s="389">
        <f t="shared" si="40"/>
        <v>1470.6347092890298</v>
      </c>
      <c r="AR48" s="389">
        <f t="shared" si="41"/>
        <v>52460.877695803007</v>
      </c>
      <c r="AS48" s="384">
        <f t="shared" si="42"/>
        <v>31315.687747381889</v>
      </c>
      <c r="AT48" s="390">
        <f t="shared" si="18"/>
        <v>110007.0042910864</v>
      </c>
      <c r="AU48" s="373">
        <f t="shared" si="19"/>
        <v>0.38281769605237803</v>
      </c>
      <c r="AV48" s="387">
        <f t="shared" si="43"/>
        <v>173450</v>
      </c>
      <c r="AW48" s="387">
        <f t="shared" si="20"/>
        <v>53992.995708913601</v>
      </c>
      <c r="AX48" s="374">
        <f t="shared" si="44"/>
        <v>0</v>
      </c>
      <c r="AY48" s="184">
        <f t="shared" si="48"/>
        <v>26</v>
      </c>
      <c r="AZ48" s="146"/>
      <c r="BA48" s="146"/>
      <c r="BB48" s="146"/>
      <c r="BC48" s="146"/>
      <c r="BD48" s="146"/>
      <c r="BE48" s="146"/>
    </row>
    <row r="49" spans="1:57">
      <c r="A49" s="360">
        <f t="shared" si="45"/>
        <v>27</v>
      </c>
      <c r="B49" s="182">
        <f t="shared" si="21"/>
        <v>294545.36862093187</v>
      </c>
      <c r="C49" s="361">
        <f t="shared" si="22"/>
        <v>20242.20418498939</v>
      </c>
      <c r="D49" s="375">
        <f t="shared" si="23"/>
        <v>0</v>
      </c>
      <c r="E49" s="376">
        <f t="shared" si="46"/>
        <v>20242.20418498939</v>
      </c>
      <c r="F49" s="377">
        <f t="shared" ca="1" si="24"/>
        <v>6649.946168645949</v>
      </c>
      <c r="G49" s="377">
        <f t="shared" ca="1" si="25"/>
        <v>26892.150353635341</v>
      </c>
      <c r="H49" s="382">
        <f t="shared" si="0"/>
        <v>589.09073724186374</v>
      </c>
      <c r="I49" s="383">
        <f t="shared" si="1"/>
        <v>2631.486544048621</v>
      </c>
      <c r="J49" s="383">
        <f t="shared" ca="1" si="2"/>
        <v>736.36342155232967</v>
      </c>
      <c r="K49" s="383">
        <f t="shared" ca="1" si="3"/>
        <v>0</v>
      </c>
      <c r="L49" s="383">
        <f t="shared" ca="1" si="26"/>
        <v>0</v>
      </c>
      <c r="M49" s="386">
        <f t="shared" si="4"/>
        <v>5203.5</v>
      </c>
      <c r="N49" s="386">
        <f t="shared" ca="1" si="27"/>
        <v>9160.4407028428141</v>
      </c>
      <c r="O49" s="493"/>
      <c r="P49" s="361">
        <f t="shared" ca="1" si="47"/>
        <v>17731.709650792527</v>
      </c>
      <c r="Q49" s="370">
        <f ca="1">Tax!AH17</f>
        <v>-3052.3581669839132</v>
      </c>
      <c r="R49" s="570">
        <f t="shared" ca="1" si="28"/>
        <v>14679.351483808614</v>
      </c>
      <c r="S49" s="377">
        <f t="shared" si="5"/>
        <v>1012.1102092494696</v>
      </c>
      <c r="T49" s="378">
        <f t="shared" si="6"/>
        <v>2024.2204184989391</v>
      </c>
      <c r="U49" s="586">
        <f t="shared" ca="1" si="29"/>
        <v>239380.55439975535</v>
      </c>
      <c r="V49" s="379">
        <f t="shared" si="7"/>
        <v>2024.2204184989391</v>
      </c>
      <c r="W49" s="380">
        <f t="shared" si="30"/>
        <v>939.47063242145668</v>
      </c>
      <c r="X49" s="380">
        <f t="shared" si="8"/>
        <v>1472.7268431046593</v>
      </c>
      <c r="Y49" s="381">
        <f t="shared" si="9"/>
        <v>736.36342155232967</v>
      </c>
      <c r="Z49" s="382">
        <f t="shared" si="31"/>
        <v>736.36342155232967</v>
      </c>
      <c r="AA49" s="383">
        <f t="shared" si="10"/>
        <v>0</v>
      </c>
      <c r="AB49" s="384">
        <f t="shared" si="32"/>
        <v>33543.015376749958</v>
      </c>
      <c r="AC49" s="379">
        <f t="shared" ca="1" si="33"/>
        <v>4418.1805293139778</v>
      </c>
      <c r="AD49" s="380">
        <f t="shared" ca="1" si="34"/>
        <v>1871.4923680449351</v>
      </c>
      <c r="AE49" s="380">
        <f t="shared" si="11"/>
        <v>0</v>
      </c>
      <c r="AF49" s="381">
        <f t="shared" si="12"/>
        <v>0</v>
      </c>
      <c r="AG49" s="382">
        <f t="shared" ca="1" si="35"/>
        <v>0</v>
      </c>
      <c r="AH49" s="383">
        <f t="shared" ca="1" si="13"/>
        <v>0</v>
      </c>
      <c r="AI49" s="384">
        <f t="shared" ca="1" si="36"/>
        <v>68672.751832190086</v>
      </c>
      <c r="AJ49" s="590">
        <f t="shared" ca="1" si="49"/>
        <v>14679.351483808614</v>
      </c>
      <c r="AK49" s="385">
        <f t="shared" ca="1" si="15"/>
        <v>0</v>
      </c>
      <c r="AL49" s="591">
        <f t="shared" ca="1" si="37"/>
        <v>171343.41563813522</v>
      </c>
      <c r="AM49" s="388">
        <f t="shared" si="16"/>
        <v>1012.1102092494696</v>
      </c>
      <c r="AN49" s="389">
        <f t="shared" si="38"/>
        <v>786.91316543704511</v>
      </c>
      <c r="AO49" s="390">
        <f t="shared" si="39"/>
        <v>28029.462222588019</v>
      </c>
      <c r="AP49" s="389">
        <f t="shared" si="17"/>
        <v>2024.2204184989391</v>
      </c>
      <c r="AQ49" s="389">
        <f t="shared" si="40"/>
        <v>1573.8263308740902</v>
      </c>
      <c r="AR49" s="389">
        <f t="shared" si="41"/>
        <v>56058.924445176039</v>
      </c>
      <c r="AS49" s="384">
        <f t="shared" si="42"/>
        <v>33543.015376749958</v>
      </c>
      <c r="AT49" s="390">
        <f t="shared" si="18"/>
        <v>117631.40204451402</v>
      </c>
      <c r="AU49" s="373">
        <f t="shared" si="19"/>
        <v>0.39936598764145209</v>
      </c>
      <c r="AV49" s="387">
        <f t="shared" si="43"/>
        <v>173450</v>
      </c>
      <c r="AW49" s="387">
        <f t="shared" si="20"/>
        <v>46368.59795548598</v>
      </c>
      <c r="AX49" s="374">
        <f t="shared" si="44"/>
        <v>0</v>
      </c>
      <c r="AY49" s="184">
        <f t="shared" si="48"/>
        <v>27</v>
      </c>
      <c r="AZ49" s="146"/>
      <c r="BA49" s="146"/>
      <c r="BB49" s="146"/>
      <c r="BC49" s="146"/>
      <c r="BD49" s="146"/>
      <c r="BE49" s="146"/>
    </row>
    <row r="50" spans="1:57">
      <c r="A50" s="360">
        <f t="shared" si="45"/>
        <v>28</v>
      </c>
      <c r="B50" s="182">
        <f t="shared" si="21"/>
        <v>301909.00283645513</v>
      </c>
      <c r="C50" s="361">
        <f t="shared" si="22"/>
        <v>20808.985902169094</v>
      </c>
      <c r="D50" s="375">
        <f t="shared" si="23"/>
        <v>0</v>
      </c>
      <c r="E50" s="376">
        <f t="shared" si="46"/>
        <v>20808.985902169094</v>
      </c>
      <c r="F50" s="377">
        <f t="shared" ca="1" si="24"/>
        <v>7181.4166319926599</v>
      </c>
      <c r="G50" s="377">
        <f t="shared" ca="1" si="25"/>
        <v>27990.402534161753</v>
      </c>
      <c r="H50" s="382">
        <f t="shared" si="0"/>
        <v>603.81800567291032</v>
      </c>
      <c r="I50" s="383">
        <f t="shared" si="1"/>
        <v>2705.1681672819823</v>
      </c>
      <c r="J50" s="383">
        <f t="shared" ca="1" si="2"/>
        <v>754.77250709113787</v>
      </c>
      <c r="K50" s="383">
        <f t="shared" ca="1" si="3"/>
        <v>0</v>
      </c>
      <c r="L50" s="383">
        <f t="shared" ca="1" si="26"/>
        <v>0</v>
      </c>
      <c r="M50" s="386">
        <f t="shared" si="4"/>
        <v>5203.5</v>
      </c>
      <c r="N50" s="386">
        <f t="shared" ca="1" si="27"/>
        <v>9267.2586800460303</v>
      </c>
      <c r="O50" s="493"/>
      <c r="P50" s="361">
        <f t="shared" ca="1" si="47"/>
        <v>18723.143854115722</v>
      </c>
      <c r="Q50" s="370">
        <f ca="1">Tax!AI17</f>
        <v>-3240.7306656153205</v>
      </c>
      <c r="R50" s="570">
        <f t="shared" ca="1" si="28"/>
        <v>15482.413188500403</v>
      </c>
      <c r="S50" s="377">
        <f t="shared" si="5"/>
        <v>1040.4492951084546</v>
      </c>
      <c r="T50" s="378">
        <f t="shared" si="6"/>
        <v>2080.8985902169093</v>
      </c>
      <c r="U50" s="586">
        <f t="shared" ca="1" si="29"/>
        <v>257984.31547358114</v>
      </c>
      <c r="V50" s="379">
        <f t="shared" si="7"/>
        <v>2080.8985902169093</v>
      </c>
      <c r="W50" s="380">
        <f t="shared" si="30"/>
        <v>1006.2904613024987</v>
      </c>
      <c r="X50" s="380">
        <f t="shared" si="8"/>
        <v>1509.5450141822757</v>
      </c>
      <c r="Y50" s="381">
        <f t="shared" si="9"/>
        <v>754.77250709113787</v>
      </c>
      <c r="Z50" s="382">
        <f t="shared" si="31"/>
        <v>754.77250709113787</v>
      </c>
      <c r="AA50" s="383">
        <f t="shared" si="10"/>
        <v>0</v>
      </c>
      <c r="AB50" s="384">
        <f t="shared" si="32"/>
        <v>35875.431921178228</v>
      </c>
      <c r="AC50" s="379">
        <f t="shared" ca="1" si="33"/>
        <v>4528.6350425468263</v>
      </c>
      <c r="AD50" s="380">
        <f t="shared" ca="1" si="34"/>
        <v>2060.1825549657024</v>
      </c>
      <c r="AE50" s="380">
        <f t="shared" si="11"/>
        <v>0</v>
      </c>
      <c r="AF50" s="381">
        <f t="shared" si="12"/>
        <v>0</v>
      </c>
      <c r="AG50" s="382">
        <f t="shared" ca="1" si="35"/>
        <v>0</v>
      </c>
      <c r="AH50" s="383">
        <f t="shared" ca="1" si="13"/>
        <v>0</v>
      </c>
      <c r="AI50" s="384">
        <f t="shared" ca="1" si="36"/>
        <v>75261.56942970262</v>
      </c>
      <c r="AJ50" s="590">
        <f t="shared" ca="1" si="49"/>
        <v>15482.413188500403</v>
      </c>
      <c r="AK50" s="385">
        <f t="shared" ca="1" si="15"/>
        <v>0</v>
      </c>
      <c r="AL50" s="591">
        <f t="shared" ca="1" si="37"/>
        <v>186825.82882663561</v>
      </c>
      <c r="AM50" s="388">
        <f t="shared" si="16"/>
        <v>1040.4492951084546</v>
      </c>
      <c r="AN50" s="389">
        <f t="shared" si="38"/>
        <v>840.88386667764053</v>
      </c>
      <c r="AO50" s="390">
        <f t="shared" si="39"/>
        <v>29910.795384374116</v>
      </c>
      <c r="AP50" s="389">
        <f t="shared" si="17"/>
        <v>2080.8985902169093</v>
      </c>
      <c r="AQ50" s="389">
        <f t="shared" si="40"/>
        <v>1681.7677333552811</v>
      </c>
      <c r="AR50" s="389">
        <f t="shared" si="41"/>
        <v>59821.590768748232</v>
      </c>
      <c r="AS50" s="384">
        <f t="shared" si="42"/>
        <v>35875.431921178228</v>
      </c>
      <c r="AT50" s="390">
        <f t="shared" si="18"/>
        <v>125607.81807430058</v>
      </c>
      <c r="AU50" s="373">
        <f t="shared" si="19"/>
        <v>0.41604528813055186</v>
      </c>
      <c r="AV50" s="387">
        <f t="shared" si="43"/>
        <v>173450</v>
      </c>
      <c r="AW50" s="387">
        <f t="shared" si="20"/>
        <v>38392.18192569942</v>
      </c>
      <c r="AX50" s="374">
        <f t="shared" si="44"/>
        <v>0</v>
      </c>
      <c r="AY50" s="184">
        <f t="shared" si="48"/>
        <v>28</v>
      </c>
      <c r="AZ50" s="146"/>
      <c r="BA50" s="146"/>
      <c r="BB50" s="146"/>
      <c r="BC50" s="146"/>
      <c r="BD50" s="146"/>
      <c r="BE50" s="146"/>
    </row>
    <row r="51" spans="1:57">
      <c r="A51" s="360">
        <f t="shared" si="45"/>
        <v>29</v>
      </c>
      <c r="B51" s="182">
        <f t="shared" si="21"/>
        <v>309456.72790736647</v>
      </c>
      <c r="C51" s="361">
        <f t="shared" si="22"/>
        <v>21391.63750742983</v>
      </c>
      <c r="D51" s="375">
        <f t="shared" si="23"/>
        <v>0</v>
      </c>
      <c r="E51" s="376">
        <f t="shared" si="46"/>
        <v>21391.63750742983</v>
      </c>
      <c r="F51" s="377">
        <f t="shared" ca="1" si="24"/>
        <v>7739.5294642074341</v>
      </c>
      <c r="G51" s="377">
        <f t="shared" ca="1" si="25"/>
        <v>29131.166971637263</v>
      </c>
      <c r="H51" s="382">
        <f t="shared" si="0"/>
        <v>618.91345581473297</v>
      </c>
      <c r="I51" s="383">
        <f t="shared" si="1"/>
        <v>2780.9128759658779</v>
      </c>
      <c r="J51" s="383">
        <f t="shared" ca="1" si="2"/>
        <v>773.64181976841621</v>
      </c>
      <c r="K51" s="383">
        <f t="shared" ca="1" si="3"/>
        <v>0</v>
      </c>
      <c r="L51" s="383">
        <f t="shared" ca="1" si="26"/>
        <v>0</v>
      </c>
      <c r="M51" s="386">
        <f t="shared" si="4"/>
        <v>5203.5</v>
      </c>
      <c r="N51" s="386">
        <f t="shared" ca="1" si="27"/>
        <v>9376.9681515490265</v>
      </c>
      <c r="O51" s="493"/>
      <c r="P51" s="361">
        <f t="shared" ca="1" si="47"/>
        <v>19754.198820088237</v>
      </c>
      <c r="Q51" s="370">
        <f ca="1">Tax!AJ17</f>
        <v>-3436.6311091500984</v>
      </c>
      <c r="R51" s="570">
        <f t="shared" ca="1" si="28"/>
        <v>16317.567710938139</v>
      </c>
      <c r="S51" s="377">
        <f t="shared" si="5"/>
        <v>1069.5818753714916</v>
      </c>
      <c r="T51" s="378">
        <f t="shared" si="6"/>
        <v>2139.1637507429832</v>
      </c>
      <c r="U51" s="586">
        <f t="shared" ca="1" si="29"/>
        <v>277510.62881063373</v>
      </c>
      <c r="V51" s="379">
        <f t="shared" si="7"/>
        <v>2139.1637507429832</v>
      </c>
      <c r="W51" s="380">
        <f t="shared" si="30"/>
        <v>1076.2629576353468</v>
      </c>
      <c r="X51" s="380">
        <f t="shared" si="8"/>
        <v>1547.2836395368324</v>
      </c>
      <c r="Y51" s="381">
        <f t="shared" si="9"/>
        <v>773.64181976841621</v>
      </c>
      <c r="Z51" s="382">
        <f t="shared" si="31"/>
        <v>773.64181976841621</v>
      </c>
      <c r="AA51" s="383">
        <f t="shared" si="10"/>
        <v>0</v>
      </c>
      <c r="AB51" s="384">
        <f t="shared" si="32"/>
        <v>38317.216809788144</v>
      </c>
      <c r="AC51" s="379">
        <f t="shared" ca="1" si="33"/>
        <v>4641.8509186104966</v>
      </c>
      <c r="AD51" s="380">
        <f t="shared" ca="1" si="34"/>
        <v>2257.8470828910786</v>
      </c>
      <c r="AE51" s="380">
        <f t="shared" si="11"/>
        <v>0</v>
      </c>
      <c r="AF51" s="381">
        <f t="shared" si="12"/>
        <v>0</v>
      </c>
      <c r="AG51" s="382">
        <f t="shared" ca="1" si="35"/>
        <v>0</v>
      </c>
      <c r="AH51" s="383">
        <f t="shared" ca="1" si="13"/>
        <v>0</v>
      </c>
      <c r="AI51" s="384">
        <f t="shared" ca="1" si="36"/>
        <v>82161.267431204193</v>
      </c>
      <c r="AJ51" s="590">
        <f t="shared" ca="1" si="49"/>
        <v>16317.567710938139</v>
      </c>
      <c r="AK51" s="385">
        <f t="shared" ca="1" si="15"/>
        <v>0</v>
      </c>
      <c r="AL51" s="591">
        <f t="shared" ca="1" si="37"/>
        <v>203143.39653757375</v>
      </c>
      <c r="AM51" s="388">
        <f t="shared" si="16"/>
        <v>1069.5818753714916</v>
      </c>
      <c r="AN51" s="389">
        <f t="shared" si="38"/>
        <v>897.32386153122343</v>
      </c>
      <c r="AO51" s="390">
        <f t="shared" si="39"/>
        <v>31877.70112127683</v>
      </c>
      <c r="AP51" s="389">
        <f t="shared" si="17"/>
        <v>2139.1637507429832</v>
      </c>
      <c r="AQ51" s="389">
        <f t="shared" si="40"/>
        <v>1794.6477230624469</v>
      </c>
      <c r="AR51" s="389">
        <f t="shared" si="41"/>
        <v>63755.40224255366</v>
      </c>
      <c r="AS51" s="384">
        <f t="shared" si="42"/>
        <v>38317.216809788144</v>
      </c>
      <c r="AT51" s="390">
        <f t="shared" si="18"/>
        <v>133950.32017361865</v>
      </c>
      <c r="AU51" s="373">
        <f t="shared" si="19"/>
        <v>0.43285638376463303</v>
      </c>
      <c r="AV51" s="387">
        <f t="shared" si="43"/>
        <v>173450</v>
      </c>
      <c r="AW51" s="387">
        <f t="shared" si="20"/>
        <v>30049.679826381354</v>
      </c>
      <c r="AX51" s="374">
        <f t="shared" si="44"/>
        <v>0</v>
      </c>
      <c r="AY51" s="184">
        <f t="shared" si="48"/>
        <v>29</v>
      </c>
      <c r="AZ51" s="146"/>
      <c r="BA51" s="146"/>
      <c r="BB51" s="146"/>
      <c r="BC51" s="146"/>
      <c r="BD51" s="146"/>
      <c r="BE51" s="146"/>
    </row>
    <row r="52" spans="1:57">
      <c r="A52" s="360">
        <f t="shared" si="45"/>
        <v>30</v>
      </c>
      <c r="B52" s="182">
        <f t="shared" si="21"/>
        <v>317193.14610505057</v>
      </c>
      <c r="C52" s="361">
        <f t="shared" si="22"/>
        <v>21990.603357637865</v>
      </c>
      <c r="D52" s="375">
        <f t="shared" si="23"/>
        <v>0</v>
      </c>
      <c r="E52" s="376">
        <f t="shared" si="46"/>
        <v>21990.603357637865</v>
      </c>
      <c r="F52" s="377">
        <f t="shared" ca="1" si="24"/>
        <v>8325.3188643190115</v>
      </c>
      <c r="G52" s="377">
        <f t="shared" ca="1" si="25"/>
        <v>30315.922221956876</v>
      </c>
      <c r="H52" s="382">
        <f t="shared" si="0"/>
        <v>634.38629221010115</v>
      </c>
      <c r="I52" s="383">
        <f t="shared" si="1"/>
        <v>2858.7784364929225</v>
      </c>
      <c r="J52" s="383">
        <f t="shared" ca="1" si="2"/>
        <v>24582.468823141418</v>
      </c>
      <c r="K52" s="383">
        <f t="shared" ca="1" si="3"/>
        <v>0</v>
      </c>
      <c r="L52" s="383">
        <f t="shared" ca="1" si="26"/>
        <v>0</v>
      </c>
      <c r="M52" s="386">
        <f t="shared" si="4"/>
        <v>5203.5</v>
      </c>
      <c r="N52" s="386">
        <f t="shared" ca="1" si="27"/>
        <v>33279.133551844439</v>
      </c>
      <c r="O52" s="493"/>
      <c r="P52" s="361">
        <f t="shared" ca="1" si="47"/>
        <v>-2963.2113298875629</v>
      </c>
      <c r="Q52" s="370">
        <f ca="1">Tax!AK17</f>
        <v>0</v>
      </c>
      <c r="R52" s="570">
        <f t="shared" ca="1" si="28"/>
        <v>-2963.2113298875629</v>
      </c>
      <c r="S52" s="377">
        <f t="shared" si="5"/>
        <v>1099.5301678818932</v>
      </c>
      <c r="T52" s="378">
        <f t="shared" si="6"/>
        <v>2199.0603357637865</v>
      </c>
      <c r="U52" s="586">
        <f t="shared" ca="1" si="29"/>
        <v>277846.00798439182</v>
      </c>
      <c r="V52" s="379">
        <f t="shared" si="7"/>
        <v>2199.0603357637865</v>
      </c>
      <c r="W52" s="380">
        <f t="shared" si="30"/>
        <v>1149.5165042936442</v>
      </c>
      <c r="X52" s="380">
        <f t="shared" si="8"/>
        <v>1585.9657305252529</v>
      </c>
      <c r="Y52" s="381">
        <f t="shared" si="9"/>
        <v>792.98286526262643</v>
      </c>
      <c r="Z52" s="382">
        <f t="shared" si="31"/>
        <v>792.98286526262643</v>
      </c>
      <c r="AA52" s="383">
        <f t="shared" si="10"/>
        <v>0</v>
      </c>
      <c r="AB52" s="384">
        <f t="shared" si="32"/>
        <v>40872.810784582951</v>
      </c>
      <c r="AC52" s="379">
        <f t="shared" ca="1" si="33"/>
        <v>4757.8971915757584</v>
      </c>
      <c r="AD52" s="380">
        <f t="shared" ca="1" si="34"/>
        <v>2464.8380229361255</v>
      </c>
      <c r="AE52" s="380">
        <f t="shared" si="11"/>
        <v>47578.971915757582</v>
      </c>
      <c r="AF52" s="381">
        <f t="shared" si="12"/>
        <v>23789.485957878791</v>
      </c>
      <c r="AG52" s="382">
        <f t="shared" ca="1" si="35"/>
        <v>23789.485957878791</v>
      </c>
      <c r="AH52" s="383">
        <f t="shared" ca="1" si="13"/>
        <v>0</v>
      </c>
      <c r="AI52" s="384">
        <f t="shared" ca="1" si="36"/>
        <v>65594.516687837284</v>
      </c>
      <c r="AJ52" s="590">
        <f t="shared" ca="1" si="49"/>
        <v>-2963.2113298875629</v>
      </c>
      <c r="AK52" s="385">
        <f t="shared" ca="1" si="15"/>
        <v>0</v>
      </c>
      <c r="AL52" s="591">
        <f t="shared" ca="1" si="37"/>
        <v>200180.18520768618</v>
      </c>
      <c r="AM52" s="388">
        <f t="shared" si="16"/>
        <v>1099.5301678818932</v>
      </c>
      <c r="AN52" s="389">
        <f t="shared" si="38"/>
        <v>956.33103363830492</v>
      </c>
      <c r="AO52" s="390">
        <f t="shared" si="39"/>
        <v>33933.562322797028</v>
      </c>
      <c r="AP52" s="389">
        <f t="shared" si="17"/>
        <v>2199.0603357637865</v>
      </c>
      <c r="AQ52" s="389">
        <f t="shared" si="40"/>
        <v>1912.6620672766098</v>
      </c>
      <c r="AR52" s="389">
        <f t="shared" si="41"/>
        <v>67867.124645594056</v>
      </c>
      <c r="AS52" s="384">
        <f t="shared" ca="1" si="42"/>
        <v>106467.32747242023</v>
      </c>
      <c r="AT52" s="390">
        <f t="shared" ca="1" si="18"/>
        <v>208268.01444081133</v>
      </c>
      <c r="AU52" s="373">
        <f t="shared" ca="1" si="19"/>
        <v>0.65659683066365959</v>
      </c>
      <c r="AV52" s="387">
        <f t="shared" si="43"/>
        <v>173450</v>
      </c>
      <c r="AW52" s="387">
        <f t="shared" ca="1" si="20"/>
        <v>-44268.014440811326</v>
      </c>
      <c r="AX52" s="374">
        <f t="shared" si="44"/>
        <v>0</v>
      </c>
      <c r="AY52" s="184">
        <f t="shared" si="48"/>
        <v>30</v>
      </c>
      <c r="AZ52" s="146"/>
      <c r="BA52" s="146"/>
      <c r="BB52" s="146"/>
      <c r="BC52" s="146"/>
      <c r="BD52" s="146"/>
      <c r="BE52" s="146"/>
    </row>
    <row r="53" spans="1:57">
      <c r="A53" s="360">
        <f t="shared" si="45"/>
        <v>31</v>
      </c>
      <c r="B53" s="182">
        <f t="shared" si="21"/>
        <v>325122.97475767683</v>
      </c>
      <c r="C53" s="361">
        <f t="shared" si="22"/>
        <v>22606.340251651727</v>
      </c>
      <c r="D53" s="375">
        <f t="shared" si="23"/>
        <v>0</v>
      </c>
      <c r="E53" s="376">
        <f t="shared" si="46"/>
        <v>22606.340251651727</v>
      </c>
      <c r="F53" s="377">
        <f t="shared" ca="1" si="24"/>
        <v>8335.3802395317543</v>
      </c>
      <c r="G53" s="377">
        <f t="shared" ca="1" si="25"/>
        <v>30941.720491183481</v>
      </c>
      <c r="H53" s="382">
        <f t="shared" si="0"/>
        <v>650.24594951535369</v>
      </c>
      <c r="I53" s="383">
        <f t="shared" si="1"/>
        <v>2938.8242327147245</v>
      </c>
      <c r="J53" s="383">
        <f t="shared" ca="1" si="2"/>
        <v>812.80743689419205</v>
      </c>
      <c r="K53" s="383">
        <f t="shared" ca="1" si="3"/>
        <v>0</v>
      </c>
      <c r="L53" s="383">
        <f t="shared" ca="1" si="26"/>
        <v>0</v>
      </c>
      <c r="M53" s="386">
        <f t="shared" si="4"/>
        <v>5203.5</v>
      </c>
      <c r="N53" s="386">
        <f t="shared" ca="1" si="27"/>
        <v>9605.3776191242705</v>
      </c>
      <c r="O53" s="493"/>
      <c r="P53" s="361">
        <f t="shared" ca="1" si="47"/>
        <v>21336.342872059213</v>
      </c>
      <c r="Q53" s="370">
        <f ca="1">Tax!AL17</f>
        <v>0</v>
      </c>
      <c r="R53" s="570">
        <f t="shared" ca="1" si="28"/>
        <v>21336.342872059213</v>
      </c>
      <c r="S53" s="377">
        <f t="shared" si="5"/>
        <v>1130.3170125825864</v>
      </c>
      <c r="T53" s="378">
        <f t="shared" si="6"/>
        <v>2260.6340251651727</v>
      </c>
      <c r="U53" s="586">
        <f t="shared" ca="1" si="29"/>
        <v>302573.30189419881</v>
      </c>
      <c r="V53" s="379">
        <f t="shared" si="7"/>
        <v>2260.6340251651727</v>
      </c>
      <c r="W53" s="380">
        <f t="shared" si="30"/>
        <v>1226.1843235374886</v>
      </c>
      <c r="X53" s="380">
        <f t="shared" si="8"/>
        <v>1625.6148737883841</v>
      </c>
      <c r="Y53" s="381">
        <f t="shared" si="9"/>
        <v>812.80743689419205</v>
      </c>
      <c r="Z53" s="382">
        <f t="shared" si="31"/>
        <v>812.80743689419205</v>
      </c>
      <c r="AA53" s="383">
        <f t="shared" si="10"/>
        <v>0</v>
      </c>
      <c r="AB53" s="384">
        <f t="shared" si="32"/>
        <v>43546.821696391416</v>
      </c>
      <c r="AC53" s="379">
        <f t="shared" ca="1" si="33"/>
        <v>4876.8446213651523</v>
      </c>
      <c r="AD53" s="380">
        <f t="shared" ca="1" si="34"/>
        <v>1967.8355006351185</v>
      </c>
      <c r="AE53" s="380">
        <f t="shared" si="11"/>
        <v>0</v>
      </c>
      <c r="AF53" s="381">
        <f t="shared" si="12"/>
        <v>0</v>
      </c>
      <c r="AG53" s="382">
        <f t="shared" ca="1" si="35"/>
        <v>0</v>
      </c>
      <c r="AH53" s="383">
        <f t="shared" ca="1" si="13"/>
        <v>0</v>
      </c>
      <c r="AI53" s="384">
        <f t="shared" ca="1" si="36"/>
        <v>72439.196809837551</v>
      </c>
      <c r="AJ53" s="590">
        <f t="shared" ca="1" si="49"/>
        <v>21336.342872059213</v>
      </c>
      <c r="AK53" s="385">
        <f t="shared" ca="1" si="15"/>
        <v>0</v>
      </c>
      <c r="AL53" s="591">
        <f t="shared" ca="1" si="37"/>
        <v>221516.52807974539</v>
      </c>
      <c r="AM53" s="388">
        <f t="shared" si="16"/>
        <v>1130.3170125825864</v>
      </c>
      <c r="AN53" s="389">
        <f t="shared" si="38"/>
        <v>1018.0068696839108</v>
      </c>
      <c r="AO53" s="390">
        <f t="shared" si="39"/>
        <v>36081.886205063522</v>
      </c>
      <c r="AP53" s="389">
        <f t="shared" si="17"/>
        <v>2260.6340251651727</v>
      </c>
      <c r="AQ53" s="389">
        <f t="shared" si="40"/>
        <v>2036.0137393678217</v>
      </c>
      <c r="AR53" s="389">
        <f t="shared" si="41"/>
        <v>72163.772410127043</v>
      </c>
      <c r="AS53" s="384">
        <f t="shared" si="42"/>
        <v>43546.821696391416</v>
      </c>
      <c r="AT53" s="390">
        <f t="shared" si="18"/>
        <v>151792.48031158198</v>
      </c>
      <c r="AU53" s="373">
        <f t="shared" si="19"/>
        <v>0.46687712680015042</v>
      </c>
      <c r="AV53" s="387">
        <f t="shared" si="43"/>
        <v>173450</v>
      </c>
      <c r="AW53" s="387">
        <f t="shared" si="20"/>
        <v>12207.519688418019</v>
      </c>
      <c r="AX53" s="374">
        <f t="shared" si="44"/>
        <v>0</v>
      </c>
      <c r="AY53" s="184">
        <f t="shared" si="48"/>
        <v>31</v>
      </c>
      <c r="AZ53" s="146"/>
      <c r="BA53" s="146"/>
      <c r="BB53" s="146"/>
      <c r="BC53" s="146"/>
      <c r="BD53" s="146"/>
      <c r="BE53" s="146"/>
    </row>
    <row r="54" spans="1:57">
      <c r="A54" s="360">
        <f t="shared" si="45"/>
        <v>32</v>
      </c>
      <c r="B54" s="182">
        <f t="shared" si="21"/>
        <v>333251.04912661872</v>
      </c>
      <c r="C54" s="361">
        <f t="shared" si="22"/>
        <v>23239.317778697976</v>
      </c>
      <c r="D54" s="375">
        <f t="shared" si="23"/>
        <v>0</v>
      </c>
      <c r="E54" s="376">
        <f t="shared" si="46"/>
        <v>23239.317778697976</v>
      </c>
      <c r="F54" s="377">
        <f t="shared" ca="1" si="24"/>
        <v>9077.1990568259644</v>
      </c>
      <c r="G54" s="377">
        <f t="shared" ca="1" si="25"/>
        <v>32316.51683552394</v>
      </c>
      <c r="H54" s="382">
        <f t="shared" si="0"/>
        <v>666.50209825323748</v>
      </c>
      <c r="I54" s="383">
        <f t="shared" si="1"/>
        <v>3021.1113112307371</v>
      </c>
      <c r="J54" s="383">
        <f t="shared" ca="1" si="2"/>
        <v>833.12762281654682</v>
      </c>
      <c r="K54" s="383">
        <f t="shared" ca="1" si="3"/>
        <v>0</v>
      </c>
      <c r="L54" s="383">
        <f t="shared" ca="1" si="26"/>
        <v>0</v>
      </c>
      <c r="M54" s="386">
        <f t="shared" si="4"/>
        <v>5203.5</v>
      </c>
      <c r="N54" s="386">
        <f t="shared" ca="1" si="27"/>
        <v>9724.2410323005206</v>
      </c>
      <c r="O54" s="493"/>
      <c r="P54" s="361">
        <f t="shared" ca="1" si="47"/>
        <v>22592.27580322342</v>
      </c>
      <c r="Q54" s="370">
        <f ca="1">Tax!AM17</f>
        <v>-2279.8454305885089</v>
      </c>
      <c r="R54" s="570">
        <f t="shared" ca="1" si="28"/>
        <v>20312.43037263491</v>
      </c>
      <c r="S54" s="377">
        <f t="shared" si="5"/>
        <v>1161.9658889348989</v>
      </c>
      <c r="T54" s="378">
        <f t="shared" si="6"/>
        <v>2323.9317778697978</v>
      </c>
      <c r="U54" s="586">
        <f t="shared" ca="1" si="29"/>
        <v>326371.62993363844</v>
      </c>
      <c r="V54" s="379">
        <f t="shared" si="7"/>
        <v>2323.9317778697978</v>
      </c>
      <c r="W54" s="380">
        <f t="shared" si="30"/>
        <v>1306.4046508917424</v>
      </c>
      <c r="X54" s="380">
        <f t="shared" si="8"/>
        <v>1666.2552456330936</v>
      </c>
      <c r="Y54" s="381">
        <f t="shared" si="9"/>
        <v>833.12762281654682</v>
      </c>
      <c r="Z54" s="382">
        <f t="shared" si="31"/>
        <v>833.12762281654682</v>
      </c>
      <c r="AA54" s="383">
        <f t="shared" si="10"/>
        <v>0</v>
      </c>
      <c r="AB54" s="384">
        <f t="shared" si="32"/>
        <v>46344.030502336413</v>
      </c>
      <c r="AC54" s="379">
        <f t="shared" ca="1" si="33"/>
        <v>4998.7657368992805</v>
      </c>
      <c r="AD54" s="380">
        <f t="shared" ca="1" si="34"/>
        <v>2173.1759042951267</v>
      </c>
      <c r="AE54" s="380">
        <f t="shared" si="11"/>
        <v>0</v>
      </c>
      <c r="AF54" s="381">
        <f t="shared" si="12"/>
        <v>0</v>
      </c>
      <c r="AG54" s="382">
        <f t="shared" ca="1" si="35"/>
        <v>0</v>
      </c>
      <c r="AH54" s="383">
        <f t="shared" ca="1" si="13"/>
        <v>0</v>
      </c>
      <c r="AI54" s="384">
        <f t="shared" ca="1" si="36"/>
        <v>79611.138451031962</v>
      </c>
      <c r="AJ54" s="590">
        <f t="shared" ca="1" si="49"/>
        <v>20312.43037263491</v>
      </c>
      <c r="AK54" s="385">
        <f t="shared" ca="1" si="15"/>
        <v>0</v>
      </c>
      <c r="AL54" s="591">
        <f t="shared" ca="1" si="37"/>
        <v>241828.95845238029</v>
      </c>
      <c r="AM54" s="388">
        <f t="shared" si="16"/>
        <v>1161.9658889348989</v>
      </c>
      <c r="AN54" s="389">
        <f t="shared" si="38"/>
        <v>1082.4565861519056</v>
      </c>
      <c r="AO54" s="390">
        <f t="shared" si="39"/>
        <v>38326.308680150323</v>
      </c>
      <c r="AP54" s="389">
        <f t="shared" si="17"/>
        <v>2323.9317778697978</v>
      </c>
      <c r="AQ54" s="389">
        <f t="shared" si="40"/>
        <v>2164.9131723038113</v>
      </c>
      <c r="AR54" s="389">
        <f t="shared" si="41"/>
        <v>76652.617360300646</v>
      </c>
      <c r="AS54" s="384">
        <f t="shared" si="42"/>
        <v>46344.030502336413</v>
      </c>
      <c r="AT54" s="390">
        <f t="shared" si="18"/>
        <v>161322.95654278737</v>
      </c>
      <c r="AU54" s="373">
        <f t="shared" si="19"/>
        <v>0.48408836811041134</v>
      </c>
      <c r="AV54" s="387">
        <f t="shared" si="43"/>
        <v>173450</v>
      </c>
      <c r="AW54" s="387">
        <f t="shared" si="20"/>
        <v>2677.0434572126251</v>
      </c>
      <c r="AX54" s="374">
        <f t="shared" si="44"/>
        <v>0</v>
      </c>
      <c r="AY54" s="184">
        <f t="shared" si="48"/>
        <v>32</v>
      </c>
      <c r="AZ54" s="146"/>
      <c r="BA54" s="146"/>
      <c r="BB54" s="146"/>
      <c r="BC54" s="146"/>
      <c r="BD54" s="146"/>
      <c r="BE54" s="146"/>
    </row>
    <row r="55" spans="1:57">
      <c r="A55" s="360">
        <f t="shared" si="45"/>
        <v>33</v>
      </c>
      <c r="B55" s="182">
        <f t="shared" si="21"/>
        <v>341582.32535478415</v>
      </c>
      <c r="C55" s="361">
        <f t="shared" si="22"/>
        <v>23890.018676501521</v>
      </c>
      <c r="D55" s="375">
        <f t="shared" si="23"/>
        <v>0</v>
      </c>
      <c r="E55" s="376">
        <f t="shared" si="46"/>
        <v>23890.018676501521</v>
      </c>
      <c r="F55" s="377">
        <f t="shared" ca="1" si="24"/>
        <v>9791.1488980091526</v>
      </c>
      <c r="G55" s="377">
        <f t="shared" ca="1" si="25"/>
        <v>33681.167574510677</v>
      </c>
      <c r="H55" s="382">
        <f t="shared" si="0"/>
        <v>683.16465070956826</v>
      </c>
      <c r="I55" s="383">
        <f t="shared" si="1"/>
        <v>3105.702427945198</v>
      </c>
      <c r="J55" s="383">
        <f t="shared" ca="1" si="2"/>
        <v>853.95581338696036</v>
      </c>
      <c r="K55" s="383">
        <f t="shared" ca="1" si="3"/>
        <v>0</v>
      </c>
      <c r="L55" s="383">
        <f t="shared" ca="1" si="26"/>
        <v>0</v>
      </c>
      <c r="M55" s="386">
        <f t="shared" si="4"/>
        <v>5203.5</v>
      </c>
      <c r="N55" s="386">
        <f t="shared" ca="1" si="27"/>
        <v>9846.3228920417278</v>
      </c>
      <c r="O55" s="493"/>
      <c r="P55" s="361">
        <f t="shared" ca="1" si="47"/>
        <v>23834.844682468949</v>
      </c>
      <c r="Q55" s="370">
        <f ca="1">Tax!AN17</f>
        <v>-4243.6204896691006</v>
      </c>
      <c r="R55" s="570">
        <f t="shared" ca="1" si="28"/>
        <v>19591.224192799848</v>
      </c>
      <c r="S55" s="377">
        <f t="shared" si="5"/>
        <v>1194.5009338250761</v>
      </c>
      <c r="T55" s="378">
        <f t="shared" si="6"/>
        <v>2389.0018676501522</v>
      </c>
      <c r="U55" s="586">
        <f t="shared" ca="1" si="29"/>
        <v>349546.35692791356</v>
      </c>
      <c r="V55" s="379">
        <f t="shared" si="7"/>
        <v>2389.0018676501522</v>
      </c>
      <c r="W55" s="380">
        <f t="shared" si="30"/>
        <v>1390.3209150700923</v>
      </c>
      <c r="X55" s="380">
        <f t="shared" si="8"/>
        <v>1707.9116267739207</v>
      </c>
      <c r="Y55" s="381">
        <f t="shared" si="9"/>
        <v>853.95581338696036</v>
      </c>
      <c r="Z55" s="382">
        <f t="shared" si="31"/>
        <v>853.95581338696036</v>
      </c>
      <c r="AA55" s="383">
        <f t="shared" si="10"/>
        <v>0</v>
      </c>
      <c r="AB55" s="384">
        <f t="shared" si="32"/>
        <v>49269.397471669698</v>
      </c>
      <c r="AC55" s="379">
        <f t="shared" ca="1" si="33"/>
        <v>5123.7348803217619</v>
      </c>
      <c r="AD55" s="380">
        <f t="shared" ca="1" si="34"/>
        <v>2388.3341535309587</v>
      </c>
      <c r="AE55" s="380">
        <f t="shared" si="11"/>
        <v>0</v>
      </c>
      <c r="AF55" s="381">
        <f t="shared" si="12"/>
        <v>0</v>
      </c>
      <c r="AG55" s="382">
        <f t="shared" ca="1" si="35"/>
        <v>0</v>
      </c>
      <c r="AH55" s="383">
        <f t="shared" ca="1" si="13"/>
        <v>0</v>
      </c>
      <c r="AI55" s="384">
        <f t="shared" ca="1" si="36"/>
        <v>87123.207484884682</v>
      </c>
      <c r="AJ55" s="590">
        <f t="shared" ca="1" si="49"/>
        <v>19591.224192799848</v>
      </c>
      <c r="AK55" s="385">
        <f t="shared" ca="1" si="15"/>
        <v>0</v>
      </c>
      <c r="AL55" s="591">
        <f t="shared" ca="1" si="37"/>
        <v>261420.18264518015</v>
      </c>
      <c r="AM55" s="388">
        <f t="shared" si="16"/>
        <v>1194.5009338250761</v>
      </c>
      <c r="AN55" s="389">
        <f t="shared" si="38"/>
        <v>1149.7892604045096</v>
      </c>
      <c r="AO55" s="390">
        <f t="shared" si="39"/>
        <v>40670.59887437991</v>
      </c>
      <c r="AP55" s="389">
        <f t="shared" si="17"/>
        <v>2389.0018676501522</v>
      </c>
      <c r="AQ55" s="389">
        <f t="shared" si="40"/>
        <v>2299.5785208090192</v>
      </c>
      <c r="AR55" s="389">
        <f t="shared" si="41"/>
        <v>81341.19774875982</v>
      </c>
      <c r="AS55" s="384">
        <f t="shared" si="42"/>
        <v>49269.397471669698</v>
      </c>
      <c r="AT55" s="390">
        <f t="shared" si="18"/>
        <v>171281.19409480941</v>
      </c>
      <c r="AU55" s="373">
        <f t="shared" si="19"/>
        <v>0.50143459242777966</v>
      </c>
      <c r="AV55" s="387">
        <f t="shared" si="43"/>
        <v>173450</v>
      </c>
      <c r="AW55" s="387">
        <f t="shared" si="20"/>
        <v>-7281.1940948094125</v>
      </c>
      <c r="AX55" s="374">
        <f t="shared" si="44"/>
        <v>0</v>
      </c>
      <c r="AY55" s="184">
        <f t="shared" si="48"/>
        <v>33</v>
      </c>
      <c r="AZ55" s="146"/>
      <c r="BA55" s="146"/>
      <c r="BB55" s="146"/>
      <c r="BC55" s="146"/>
      <c r="BD55" s="146"/>
      <c r="BE55" s="146"/>
    </row>
    <row r="56" spans="1:57">
      <c r="A56" s="360">
        <f t="shared" si="45"/>
        <v>34</v>
      </c>
      <c r="B56" s="182">
        <f t="shared" si="21"/>
        <v>350121.88348865369</v>
      </c>
      <c r="C56" s="361">
        <f t="shared" si="22"/>
        <v>24558.939199443565</v>
      </c>
      <c r="D56" s="375">
        <f t="shared" si="23"/>
        <v>0</v>
      </c>
      <c r="E56" s="376">
        <f t="shared" si="46"/>
        <v>24558.939199443565</v>
      </c>
      <c r="F56" s="377">
        <f t="shared" ca="1" si="24"/>
        <v>10486.390707837407</v>
      </c>
      <c r="G56" s="377">
        <f t="shared" ca="1" si="25"/>
        <v>35045.329907280975</v>
      </c>
      <c r="H56" s="382">
        <f t="shared" si="0"/>
        <v>700.24376697730736</v>
      </c>
      <c r="I56" s="383">
        <f t="shared" si="1"/>
        <v>3192.6620959276634</v>
      </c>
      <c r="J56" s="383">
        <f t="shared" ca="1" si="2"/>
        <v>875.30470872163426</v>
      </c>
      <c r="K56" s="383">
        <f t="shared" ca="1" si="3"/>
        <v>0</v>
      </c>
      <c r="L56" s="383">
        <f t="shared" ca="1" si="26"/>
        <v>0</v>
      </c>
      <c r="M56" s="386">
        <f t="shared" si="4"/>
        <v>5203.5</v>
      </c>
      <c r="N56" s="386">
        <f t="shared" ca="1" si="27"/>
        <v>9971.7105716266051</v>
      </c>
      <c r="O56" s="493"/>
      <c r="P56" s="361">
        <f t="shared" ca="1" si="47"/>
        <v>25073.61933565437</v>
      </c>
      <c r="Q56" s="370">
        <f ca="1">Tax!AO17</f>
        <v>-4478.9876737743307</v>
      </c>
      <c r="R56" s="570">
        <f t="shared" ca="1" si="28"/>
        <v>20594.631661880041</v>
      </c>
      <c r="S56" s="377">
        <f t="shared" si="5"/>
        <v>1227.9469599721783</v>
      </c>
      <c r="T56" s="378">
        <f t="shared" si="6"/>
        <v>2455.8939199443566</v>
      </c>
      <c r="U56" s="586">
        <f t="shared" ca="1" si="29"/>
        <v>373824.82946971018</v>
      </c>
      <c r="V56" s="379">
        <f t="shared" si="7"/>
        <v>2455.8939199443566</v>
      </c>
      <c r="W56" s="380">
        <f t="shared" si="30"/>
        <v>1478.0819241500908</v>
      </c>
      <c r="X56" s="380">
        <f t="shared" si="8"/>
        <v>1750.6094174432685</v>
      </c>
      <c r="Y56" s="381">
        <f t="shared" si="9"/>
        <v>875.30470872163426</v>
      </c>
      <c r="Z56" s="382">
        <f t="shared" si="31"/>
        <v>875.30470872163426</v>
      </c>
      <c r="AA56" s="383">
        <f t="shared" si="10"/>
        <v>0</v>
      </c>
      <c r="AB56" s="384">
        <f t="shared" si="32"/>
        <v>52328.068607042514</v>
      </c>
      <c r="AC56" s="379">
        <f t="shared" ca="1" si="33"/>
        <v>5251.8282523298049</v>
      </c>
      <c r="AD56" s="380">
        <f t="shared" ca="1" si="34"/>
        <v>2613.6962245465402</v>
      </c>
      <c r="AE56" s="380">
        <f t="shared" si="11"/>
        <v>0</v>
      </c>
      <c r="AF56" s="381">
        <f t="shared" si="12"/>
        <v>0</v>
      </c>
      <c r="AG56" s="382">
        <f t="shared" ca="1" si="35"/>
        <v>0</v>
      </c>
      <c r="AH56" s="383">
        <f t="shared" ca="1" si="13"/>
        <v>0</v>
      </c>
      <c r="AI56" s="384">
        <f t="shared" ca="1" si="36"/>
        <v>94988.731961761034</v>
      </c>
      <c r="AJ56" s="590">
        <f t="shared" ca="1" si="49"/>
        <v>20594.631661880041</v>
      </c>
      <c r="AK56" s="385">
        <f t="shared" ca="1" si="15"/>
        <v>0</v>
      </c>
      <c r="AL56" s="591">
        <f t="shared" ca="1" si="37"/>
        <v>282014.81430706021</v>
      </c>
      <c r="AM56" s="388">
        <f t="shared" si="16"/>
        <v>1227.9469599721783</v>
      </c>
      <c r="AN56" s="389">
        <f t="shared" si="38"/>
        <v>1220.1179662313973</v>
      </c>
      <c r="AO56" s="390">
        <f t="shared" si="39"/>
        <v>43118.663800583483</v>
      </c>
      <c r="AP56" s="389">
        <f t="shared" si="17"/>
        <v>2455.8939199443566</v>
      </c>
      <c r="AQ56" s="389">
        <f t="shared" si="40"/>
        <v>2440.2359324627946</v>
      </c>
      <c r="AR56" s="389">
        <f t="shared" si="41"/>
        <v>86237.327601166966</v>
      </c>
      <c r="AS56" s="384">
        <f t="shared" si="42"/>
        <v>52328.068607042514</v>
      </c>
      <c r="AT56" s="390">
        <f t="shared" si="18"/>
        <v>181684.06000879296</v>
      </c>
      <c r="AU56" s="373">
        <f t="shared" si="19"/>
        <v>0.51891660754955571</v>
      </c>
      <c r="AV56" s="387">
        <f t="shared" si="43"/>
        <v>173450</v>
      </c>
      <c r="AW56" s="387">
        <f t="shared" si="20"/>
        <v>-17684.060008792963</v>
      </c>
      <c r="AX56" s="374">
        <f t="shared" si="44"/>
        <v>0</v>
      </c>
      <c r="AY56" s="184">
        <f t="shared" si="48"/>
        <v>34</v>
      </c>
      <c r="AZ56" s="146"/>
      <c r="BA56" s="146"/>
      <c r="BB56" s="146"/>
      <c r="BC56" s="146"/>
      <c r="BD56" s="146"/>
      <c r="BE56" s="146"/>
    </row>
    <row r="57" spans="1:57">
      <c r="A57" s="360">
        <f t="shared" si="45"/>
        <v>35</v>
      </c>
      <c r="B57" s="182">
        <f t="shared" si="21"/>
        <v>358874.93057586998</v>
      </c>
      <c r="C57" s="361">
        <f t="shared" si="22"/>
        <v>25246.589497027984</v>
      </c>
      <c r="D57" s="375">
        <f t="shared" si="23"/>
        <v>0</v>
      </c>
      <c r="E57" s="376">
        <f t="shared" si="46"/>
        <v>25246.589497027984</v>
      </c>
      <c r="F57" s="377">
        <f t="shared" ca="1" si="24"/>
        <v>11214.744884091306</v>
      </c>
      <c r="G57" s="377">
        <f t="shared" ca="1" si="25"/>
        <v>36461.33438111929</v>
      </c>
      <c r="H57" s="382">
        <f t="shared" si="0"/>
        <v>717.74986115173999</v>
      </c>
      <c r="I57" s="383">
        <f t="shared" si="1"/>
        <v>3282.0566346136379</v>
      </c>
      <c r="J57" s="383">
        <f t="shared" ca="1" si="2"/>
        <v>897.18732643967496</v>
      </c>
      <c r="K57" s="383">
        <f t="shared" ca="1" si="3"/>
        <v>0</v>
      </c>
      <c r="L57" s="383">
        <f t="shared" ca="1" si="26"/>
        <v>0</v>
      </c>
      <c r="M57" s="386">
        <f t="shared" si="4"/>
        <v>5203.5</v>
      </c>
      <c r="N57" s="386">
        <f t="shared" ca="1" si="27"/>
        <v>10100.493822205053</v>
      </c>
      <c r="O57" s="493"/>
      <c r="P57" s="361">
        <f t="shared" ca="1" si="47"/>
        <v>26360.840558914235</v>
      </c>
      <c r="Q57" s="370">
        <f ca="1">Tax!AP17</f>
        <v>-4723.5597061937051</v>
      </c>
      <c r="R57" s="570">
        <f t="shared" ca="1" si="28"/>
        <v>21637.280852720531</v>
      </c>
      <c r="S57" s="377">
        <f t="shared" si="5"/>
        <v>1262.3294748513993</v>
      </c>
      <c r="T57" s="378">
        <f t="shared" si="6"/>
        <v>2524.6589497027985</v>
      </c>
      <c r="U57" s="586">
        <f t="shared" ca="1" si="29"/>
        <v>399249.09874698491</v>
      </c>
      <c r="V57" s="379">
        <f t="shared" si="7"/>
        <v>2524.6589497027985</v>
      </c>
      <c r="W57" s="380">
        <f t="shared" si="30"/>
        <v>1569.8420582112753</v>
      </c>
      <c r="X57" s="380">
        <f t="shared" si="8"/>
        <v>1794.3746528793499</v>
      </c>
      <c r="Y57" s="381">
        <f t="shared" si="9"/>
        <v>897.18732643967496</v>
      </c>
      <c r="Z57" s="382">
        <f t="shared" si="31"/>
        <v>897.18732643967496</v>
      </c>
      <c r="AA57" s="383">
        <f t="shared" si="10"/>
        <v>0</v>
      </c>
      <c r="AB57" s="384">
        <f t="shared" si="32"/>
        <v>55525.382288516914</v>
      </c>
      <c r="AC57" s="379">
        <f t="shared" ca="1" si="33"/>
        <v>5383.1239586380498</v>
      </c>
      <c r="AD57" s="380">
        <f t="shared" ca="1" si="34"/>
        <v>2849.661958852831</v>
      </c>
      <c r="AE57" s="380">
        <f t="shared" si="11"/>
        <v>0</v>
      </c>
      <c r="AF57" s="381">
        <f t="shared" si="12"/>
        <v>0</v>
      </c>
      <c r="AG57" s="382">
        <f t="shared" ca="1" si="35"/>
        <v>0</v>
      </c>
      <c r="AH57" s="383">
        <f t="shared" ca="1" si="13"/>
        <v>0</v>
      </c>
      <c r="AI57" s="384">
        <f t="shared" ca="1" si="36"/>
        <v>103221.51787925191</v>
      </c>
      <c r="AJ57" s="590">
        <f t="shared" ca="1" si="49"/>
        <v>21637.280852720531</v>
      </c>
      <c r="AK57" s="385">
        <f t="shared" ca="1" si="15"/>
        <v>0</v>
      </c>
      <c r="AL57" s="591">
        <f t="shared" ca="1" si="37"/>
        <v>303652.09515978076</v>
      </c>
      <c r="AM57" s="388">
        <f t="shared" si="16"/>
        <v>1262.3294748513993</v>
      </c>
      <c r="AN57" s="389">
        <f t="shared" si="38"/>
        <v>1293.5599140175045</v>
      </c>
      <c r="AO57" s="390">
        <f t="shared" si="39"/>
        <v>45674.553189452388</v>
      </c>
      <c r="AP57" s="389">
        <f t="shared" si="17"/>
        <v>2524.6589497027985</v>
      </c>
      <c r="AQ57" s="389">
        <f t="shared" si="40"/>
        <v>2587.119828035009</v>
      </c>
      <c r="AR57" s="389">
        <f t="shared" si="41"/>
        <v>91349.106378904777</v>
      </c>
      <c r="AS57" s="384">
        <f t="shared" si="42"/>
        <v>55525.382288516914</v>
      </c>
      <c r="AT57" s="390">
        <f t="shared" si="18"/>
        <v>192549.04185687407</v>
      </c>
      <c r="AU57" s="373">
        <f t="shared" si="19"/>
        <v>0.53653522565061751</v>
      </c>
      <c r="AV57" s="387">
        <f t="shared" si="43"/>
        <v>173450</v>
      </c>
      <c r="AW57" s="387">
        <f t="shared" si="20"/>
        <v>-28549.041856874072</v>
      </c>
      <c r="AX57" s="374">
        <f t="shared" si="44"/>
        <v>0</v>
      </c>
      <c r="AY57" s="184">
        <f t="shared" si="48"/>
        <v>35</v>
      </c>
      <c r="AZ57" s="146"/>
      <c r="BA57" s="146"/>
      <c r="BB57" s="146"/>
      <c r="BC57" s="146"/>
      <c r="BD57" s="146"/>
      <c r="BE57" s="146"/>
    </row>
    <row r="58" spans="1:57">
      <c r="A58" s="360">
        <f t="shared" si="45"/>
        <v>36</v>
      </c>
      <c r="B58" s="182">
        <f t="shared" si="21"/>
        <v>367846.80384026672</v>
      </c>
      <c r="C58" s="361">
        <f t="shared" si="22"/>
        <v>25953.494002944768</v>
      </c>
      <c r="D58" s="375">
        <f t="shared" si="23"/>
        <v>0</v>
      </c>
      <c r="E58" s="376">
        <f t="shared" si="46"/>
        <v>25953.494002944768</v>
      </c>
      <c r="F58" s="377">
        <f t="shared" ca="1" si="24"/>
        <v>11977.472962409547</v>
      </c>
      <c r="G58" s="377">
        <f t="shared" ca="1" si="25"/>
        <v>37930.966965354317</v>
      </c>
      <c r="H58" s="382">
        <f t="shared" si="0"/>
        <v>735.69360768053343</v>
      </c>
      <c r="I58" s="383">
        <f t="shared" si="1"/>
        <v>3373.95422038282</v>
      </c>
      <c r="J58" s="383">
        <f t="shared" ca="1" si="2"/>
        <v>919.61700960066685</v>
      </c>
      <c r="K58" s="383">
        <f t="shared" ca="1" si="3"/>
        <v>0</v>
      </c>
      <c r="L58" s="383">
        <f t="shared" ca="1" si="26"/>
        <v>0</v>
      </c>
      <c r="M58" s="386">
        <f t="shared" si="4"/>
        <v>5203.5</v>
      </c>
      <c r="N58" s="386">
        <f t="shared" ca="1" si="27"/>
        <v>10232.764837664021</v>
      </c>
      <c r="O58" s="493"/>
      <c r="P58" s="361">
        <f t="shared" ca="1" si="47"/>
        <v>27698.202127690296</v>
      </c>
      <c r="Q58" s="370">
        <f ca="1">Tax!AQ17</f>
        <v>-4977.6584042611566</v>
      </c>
      <c r="R58" s="570">
        <f t="shared" ca="1" si="28"/>
        <v>22720.543723429138</v>
      </c>
      <c r="S58" s="377">
        <f t="shared" si="5"/>
        <v>1297.6747001472386</v>
      </c>
      <c r="T58" s="378">
        <f t="shared" si="6"/>
        <v>2595.3494002944772</v>
      </c>
      <c r="U58" s="586">
        <f t="shared" ca="1" si="29"/>
        <v>425862.66657085577</v>
      </c>
      <c r="V58" s="379">
        <f t="shared" si="7"/>
        <v>2595.3494002944772</v>
      </c>
      <c r="W58" s="380">
        <f t="shared" si="30"/>
        <v>1665.7614686555073</v>
      </c>
      <c r="X58" s="380">
        <f t="shared" si="8"/>
        <v>1839.2340192013337</v>
      </c>
      <c r="Y58" s="381">
        <f t="shared" si="9"/>
        <v>919.61700960066685</v>
      </c>
      <c r="Z58" s="382">
        <f t="shared" si="31"/>
        <v>919.61700960066685</v>
      </c>
      <c r="AA58" s="383">
        <f t="shared" si="10"/>
        <v>0</v>
      </c>
      <c r="AB58" s="384">
        <f t="shared" si="32"/>
        <v>58866.876147866235</v>
      </c>
      <c r="AC58" s="379">
        <f t="shared" ca="1" si="33"/>
        <v>5517.7020576040004</v>
      </c>
      <c r="AD58" s="380">
        <f t="shared" ca="1" si="34"/>
        <v>3096.6455363775572</v>
      </c>
      <c r="AE58" s="380">
        <f t="shared" si="11"/>
        <v>0</v>
      </c>
      <c r="AF58" s="381">
        <f t="shared" si="12"/>
        <v>0</v>
      </c>
      <c r="AG58" s="382">
        <f t="shared" ca="1" si="35"/>
        <v>0</v>
      </c>
      <c r="AH58" s="383">
        <f t="shared" ca="1" si="13"/>
        <v>0</v>
      </c>
      <c r="AI58" s="384">
        <f t="shared" ca="1" si="36"/>
        <v>111835.86547323347</v>
      </c>
      <c r="AJ58" s="590">
        <f t="shared" ca="1" si="49"/>
        <v>22720.543723429138</v>
      </c>
      <c r="AK58" s="385">
        <f t="shared" ca="1" si="15"/>
        <v>0</v>
      </c>
      <c r="AL58" s="591">
        <f t="shared" ca="1" si="37"/>
        <v>326372.6388832099</v>
      </c>
      <c r="AM58" s="388">
        <f t="shared" si="16"/>
        <v>1297.6747001472386</v>
      </c>
      <c r="AN58" s="389">
        <f t="shared" si="38"/>
        <v>1370.2365956835715</v>
      </c>
      <c r="AO58" s="390">
        <f t="shared" si="39"/>
        <v>48342.464485283199</v>
      </c>
      <c r="AP58" s="389">
        <f t="shared" si="17"/>
        <v>2595.3494002944772</v>
      </c>
      <c r="AQ58" s="389">
        <f t="shared" si="40"/>
        <v>2740.473191367143</v>
      </c>
      <c r="AR58" s="389">
        <f t="shared" si="41"/>
        <v>96684.928970566398</v>
      </c>
      <c r="AS58" s="384">
        <f t="shared" si="42"/>
        <v>58866.876147866235</v>
      </c>
      <c r="AT58" s="390">
        <f t="shared" si="18"/>
        <v>203894.26960371586</v>
      </c>
      <c r="AU58" s="373">
        <f t="shared" si="19"/>
        <v>0.55429126330605449</v>
      </c>
      <c r="AV58" s="387">
        <f t="shared" si="43"/>
        <v>173450</v>
      </c>
      <c r="AW58" s="387">
        <f t="shared" si="20"/>
        <v>-39894.26960371586</v>
      </c>
      <c r="AX58" s="374">
        <f t="shared" si="44"/>
        <v>0</v>
      </c>
      <c r="AY58" s="184">
        <f t="shared" si="48"/>
        <v>36</v>
      </c>
      <c r="AZ58" s="146"/>
      <c r="BA58" s="146"/>
      <c r="BB58" s="146"/>
      <c r="BC58" s="146"/>
      <c r="BD58" s="146"/>
      <c r="BE58" s="146"/>
    </row>
    <row r="59" spans="1:57">
      <c r="A59" s="360">
        <f t="shared" si="45"/>
        <v>37</v>
      </c>
      <c r="B59" s="182">
        <f t="shared" si="21"/>
        <v>377042.97393627337</v>
      </c>
      <c r="C59" s="361">
        <f t="shared" si="22"/>
        <v>26680.191835027221</v>
      </c>
      <c r="D59" s="375">
        <f t="shared" si="23"/>
        <v>0</v>
      </c>
      <c r="E59" s="376">
        <f t="shared" si="46"/>
        <v>26680.191835027221</v>
      </c>
      <c r="F59" s="377">
        <f t="shared" ca="1" si="24"/>
        <v>12775.879997125672</v>
      </c>
      <c r="G59" s="377">
        <f t="shared" ca="1" si="25"/>
        <v>39456.071832152891</v>
      </c>
      <c r="H59" s="382">
        <f t="shared" si="0"/>
        <v>754.08594787254674</v>
      </c>
      <c r="I59" s="383">
        <f t="shared" si="1"/>
        <v>3468.4249385535391</v>
      </c>
      <c r="J59" s="383">
        <f t="shared" ca="1" si="2"/>
        <v>942.60743484068348</v>
      </c>
      <c r="K59" s="383">
        <f t="shared" ca="1" si="3"/>
        <v>0</v>
      </c>
      <c r="L59" s="383">
        <f t="shared" ca="1" si="26"/>
        <v>0</v>
      </c>
      <c r="M59" s="386">
        <f t="shared" si="4"/>
        <v>5203.5</v>
      </c>
      <c r="N59" s="386">
        <f t="shared" ca="1" si="27"/>
        <v>10368.618321266769</v>
      </c>
      <c r="O59" s="493"/>
      <c r="P59" s="361">
        <f t="shared" ca="1" si="47"/>
        <v>29087.453510886124</v>
      </c>
      <c r="Q59" s="370">
        <f ca="1">Tax!AR17</f>
        <v>-5241.6161670683632</v>
      </c>
      <c r="R59" s="570">
        <f t="shared" ca="1" si="28"/>
        <v>23845.837343817759</v>
      </c>
      <c r="S59" s="377">
        <f t="shared" si="5"/>
        <v>1334.0095917513611</v>
      </c>
      <c r="T59" s="378">
        <f t="shared" si="6"/>
        <v>2668.0191835027222</v>
      </c>
      <c r="U59" s="586">
        <f t="shared" ca="1" si="29"/>
        <v>453710.53268992761</v>
      </c>
      <c r="V59" s="379">
        <f t="shared" si="7"/>
        <v>2668.0191835027222</v>
      </c>
      <c r="W59" s="380">
        <f t="shared" si="30"/>
        <v>1766.006284435987</v>
      </c>
      <c r="X59" s="380">
        <f t="shared" si="8"/>
        <v>1885.214869681367</v>
      </c>
      <c r="Y59" s="381">
        <f t="shared" si="9"/>
        <v>942.60743484068348</v>
      </c>
      <c r="Z59" s="382">
        <f t="shared" si="31"/>
        <v>942.60743484068348</v>
      </c>
      <c r="AA59" s="383">
        <f t="shared" si="10"/>
        <v>0</v>
      </c>
      <c r="AB59" s="384">
        <f t="shared" si="32"/>
        <v>62358.294180964258</v>
      </c>
      <c r="AC59" s="379">
        <f t="shared" ca="1" si="33"/>
        <v>5655.6446090441004</v>
      </c>
      <c r="AD59" s="380">
        <f t="shared" ca="1" si="34"/>
        <v>3355.0759641970039</v>
      </c>
      <c r="AE59" s="380">
        <f t="shared" si="11"/>
        <v>0</v>
      </c>
      <c r="AF59" s="381">
        <f t="shared" si="12"/>
        <v>0</v>
      </c>
      <c r="AG59" s="382">
        <f t="shared" ca="1" si="35"/>
        <v>0</v>
      </c>
      <c r="AH59" s="383">
        <f t="shared" ca="1" si="13"/>
        <v>0</v>
      </c>
      <c r="AI59" s="384">
        <f t="shared" ca="1" si="36"/>
        <v>120846.58604647458</v>
      </c>
      <c r="AJ59" s="590">
        <f t="shared" ca="1" si="49"/>
        <v>23845.837343817759</v>
      </c>
      <c r="AK59" s="385">
        <f t="shared" ca="1" si="15"/>
        <v>0</v>
      </c>
      <c r="AL59" s="591">
        <f t="shared" ca="1" si="37"/>
        <v>350218.47622702766</v>
      </c>
      <c r="AM59" s="388">
        <f t="shared" si="16"/>
        <v>1334.0095917513611</v>
      </c>
      <c r="AN59" s="389">
        <f t="shared" si="38"/>
        <v>1450.273934558496</v>
      </c>
      <c r="AO59" s="390">
        <f t="shared" si="39"/>
        <v>51126.748011593052</v>
      </c>
      <c r="AP59" s="389">
        <f t="shared" si="17"/>
        <v>2668.0191835027222</v>
      </c>
      <c r="AQ59" s="389">
        <f t="shared" si="40"/>
        <v>2900.5478691169919</v>
      </c>
      <c r="AR59" s="389">
        <f t="shared" si="41"/>
        <v>102253.4960231861</v>
      </c>
      <c r="AS59" s="384">
        <f t="shared" si="42"/>
        <v>62358.294180964258</v>
      </c>
      <c r="AT59" s="390">
        <f t="shared" si="18"/>
        <v>215738.53821574341</v>
      </c>
      <c r="AU59" s="373">
        <f t="shared" si="19"/>
        <v>0.57218554151391476</v>
      </c>
      <c r="AV59" s="387">
        <f t="shared" si="43"/>
        <v>173450</v>
      </c>
      <c r="AW59" s="387">
        <f t="shared" si="20"/>
        <v>-51738.538215743407</v>
      </c>
      <c r="AX59" s="374">
        <f t="shared" si="44"/>
        <v>0</v>
      </c>
      <c r="AY59" s="184">
        <f t="shared" si="48"/>
        <v>37</v>
      </c>
      <c r="AZ59" s="146"/>
      <c r="BA59" s="146"/>
      <c r="BB59" s="146"/>
      <c r="BC59" s="146"/>
      <c r="BD59" s="146"/>
      <c r="BE59" s="146"/>
    </row>
    <row r="60" spans="1:57">
      <c r="A60" s="360">
        <f t="shared" si="45"/>
        <v>38</v>
      </c>
      <c r="B60" s="182">
        <f t="shared" si="21"/>
        <v>386469.04828468018</v>
      </c>
      <c r="C60" s="361">
        <f t="shared" si="22"/>
        <v>27427.237206407983</v>
      </c>
      <c r="D60" s="375">
        <f t="shared" si="23"/>
        <v>0</v>
      </c>
      <c r="E60" s="376">
        <f t="shared" si="46"/>
        <v>27427.237206407983</v>
      </c>
      <c r="F60" s="377">
        <f t="shared" ca="1" si="24"/>
        <v>13611.315980697827</v>
      </c>
      <c r="G60" s="377">
        <f t="shared" ca="1" si="25"/>
        <v>41038.553187105812</v>
      </c>
      <c r="H60" s="382">
        <f t="shared" si="0"/>
        <v>772.93809656936037</v>
      </c>
      <c r="I60" s="383">
        <f t="shared" si="1"/>
        <v>3565.5408368330377</v>
      </c>
      <c r="J60" s="383">
        <f t="shared" ca="1" si="2"/>
        <v>966.17262071170046</v>
      </c>
      <c r="K60" s="383">
        <f t="shared" ca="1" si="3"/>
        <v>0</v>
      </c>
      <c r="L60" s="383">
        <f t="shared" ca="1" si="26"/>
        <v>0</v>
      </c>
      <c r="M60" s="386">
        <f t="shared" si="4"/>
        <v>5203.5</v>
      </c>
      <c r="N60" s="386">
        <f t="shared" ca="1" si="27"/>
        <v>10508.151554114098</v>
      </c>
      <c r="O60" s="493"/>
      <c r="P60" s="361">
        <f t="shared" ca="1" si="47"/>
        <v>30530.401632991714</v>
      </c>
      <c r="Q60" s="370">
        <f ca="1">Tax!AS17</f>
        <v>-5515.7763102684257</v>
      </c>
      <c r="R60" s="570">
        <f t="shared" ca="1" si="28"/>
        <v>25014.625322723288</v>
      </c>
      <c r="S60" s="377">
        <f t="shared" si="5"/>
        <v>1371.3618603203993</v>
      </c>
      <c r="T60" s="378">
        <f t="shared" si="6"/>
        <v>2742.7237206407985</v>
      </c>
      <c r="U60" s="586">
        <f t="shared" ca="1" si="29"/>
        <v>482839.2435936121</v>
      </c>
      <c r="V60" s="379">
        <f t="shared" si="7"/>
        <v>2742.7237206407985</v>
      </c>
      <c r="W60" s="380">
        <f t="shared" si="30"/>
        <v>1870.7488254289276</v>
      </c>
      <c r="X60" s="380">
        <f t="shared" si="8"/>
        <v>1932.3452414234009</v>
      </c>
      <c r="Y60" s="381">
        <f t="shared" si="9"/>
        <v>966.17262071170046</v>
      </c>
      <c r="Z60" s="382">
        <f t="shared" si="31"/>
        <v>966.17262071170046</v>
      </c>
      <c r="AA60" s="383">
        <f t="shared" si="10"/>
        <v>0</v>
      </c>
      <c r="AB60" s="384">
        <f t="shared" si="32"/>
        <v>66005.594106322285</v>
      </c>
      <c r="AC60" s="379">
        <f t="shared" ca="1" si="33"/>
        <v>5797.0357242702021</v>
      </c>
      <c r="AD60" s="380">
        <f t="shared" ca="1" si="34"/>
        <v>3625.397581394237</v>
      </c>
      <c r="AE60" s="380">
        <f t="shared" si="11"/>
        <v>0</v>
      </c>
      <c r="AF60" s="381">
        <f t="shared" si="12"/>
        <v>0</v>
      </c>
      <c r="AG60" s="382">
        <f t="shared" ca="1" si="35"/>
        <v>0</v>
      </c>
      <c r="AH60" s="383">
        <f t="shared" ca="1" si="13"/>
        <v>0</v>
      </c>
      <c r="AI60" s="384">
        <f t="shared" ca="1" si="36"/>
        <v>130269.01935213902</v>
      </c>
      <c r="AJ60" s="590">
        <f t="shared" ca="1" si="49"/>
        <v>25014.625322723288</v>
      </c>
      <c r="AK60" s="385">
        <f t="shared" ca="1" si="15"/>
        <v>0</v>
      </c>
      <c r="AL60" s="591">
        <f t="shared" ca="1" si="37"/>
        <v>375233.10154975095</v>
      </c>
      <c r="AM60" s="388">
        <f t="shared" si="16"/>
        <v>1371.3618603203993</v>
      </c>
      <c r="AN60" s="389">
        <f t="shared" si="38"/>
        <v>1533.8024403477916</v>
      </c>
      <c r="AO60" s="390">
        <f t="shared" si="39"/>
        <v>54031.912312261244</v>
      </c>
      <c r="AP60" s="389">
        <f t="shared" si="17"/>
        <v>2742.7237206407985</v>
      </c>
      <c r="AQ60" s="389">
        <f t="shared" si="40"/>
        <v>3067.6048806955832</v>
      </c>
      <c r="AR60" s="389">
        <f t="shared" si="41"/>
        <v>108063.82462452249</v>
      </c>
      <c r="AS60" s="384">
        <f t="shared" si="42"/>
        <v>66005.594106322285</v>
      </c>
      <c r="AT60" s="390">
        <f t="shared" si="18"/>
        <v>228101.33104310604</v>
      </c>
      <c r="AU60" s="373">
        <f t="shared" si="19"/>
        <v>0.59021888571806769</v>
      </c>
      <c r="AV60" s="387">
        <f t="shared" si="43"/>
        <v>173450</v>
      </c>
      <c r="AW60" s="387">
        <f t="shared" si="20"/>
        <v>-64101.331043106038</v>
      </c>
      <c r="AX60" s="374">
        <f t="shared" si="44"/>
        <v>0</v>
      </c>
      <c r="AY60" s="184">
        <f t="shared" si="48"/>
        <v>38</v>
      </c>
      <c r="AZ60" s="146"/>
      <c r="BA60" s="146"/>
      <c r="BB60" s="146"/>
      <c r="BC60" s="146"/>
      <c r="BD60" s="146"/>
      <c r="BE60" s="146"/>
    </row>
    <row r="61" spans="1:57">
      <c r="A61" s="360">
        <f t="shared" si="45"/>
        <v>39</v>
      </c>
      <c r="B61" s="182">
        <f t="shared" si="21"/>
        <v>396130.77449179714</v>
      </c>
      <c r="C61" s="361">
        <f t="shared" si="22"/>
        <v>28195.199848187407</v>
      </c>
      <c r="D61" s="375">
        <f t="shared" si="23"/>
        <v>0</v>
      </c>
      <c r="E61" s="376">
        <f t="shared" si="46"/>
        <v>28195.199848187407</v>
      </c>
      <c r="F61" s="377">
        <f t="shared" ca="1" si="24"/>
        <v>14485.177307808362</v>
      </c>
      <c r="G61" s="377">
        <f t="shared" ca="1" si="25"/>
        <v>42680.377155995768</v>
      </c>
      <c r="H61" s="382">
        <f t="shared" si="0"/>
        <v>792.26154898359425</v>
      </c>
      <c r="I61" s="383">
        <f t="shared" si="1"/>
        <v>3665.3759802643631</v>
      </c>
      <c r="J61" s="383">
        <f t="shared" ca="1" si="2"/>
        <v>990.32693622949284</v>
      </c>
      <c r="K61" s="383">
        <f t="shared" ca="1" si="3"/>
        <v>0</v>
      </c>
      <c r="L61" s="383">
        <f t="shared" ca="1" si="26"/>
        <v>0</v>
      </c>
      <c r="M61" s="386">
        <f t="shared" si="4"/>
        <v>5203.5</v>
      </c>
      <c r="N61" s="386">
        <f t="shared" ca="1" si="27"/>
        <v>10651.464465477449</v>
      </c>
      <c r="O61" s="493"/>
      <c r="P61" s="361">
        <f t="shared" ca="1" si="47"/>
        <v>32028.912690518318</v>
      </c>
      <c r="Q61" s="370">
        <f ca="1">Tax!AT17</f>
        <v>-5800.4934111984803</v>
      </c>
      <c r="R61" s="570">
        <f t="shared" ca="1" si="28"/>
        <v>26228.419279319838</v>
      </c>
      <c r="S61" s="377">
        <f t="shared" si="5"/>
        <v>1409.7599924093704</v>
      </c>
      <c r="T61" s="378">
        <f t="shared" si="6"/>
        <v>2819.5199848187408</v>
      </c>
      <c r="U61" s="586">
        <f t="shared" ca="1" si="29"/>
        <v>513296.94285016012</v>
      </c>
      <c r="V61" s="379">
        <f t="shared" si="7"/>
        <v>2819.5199848187408</v>
      </c>
      <c r="W61" s="380">
        <f t="shared" si="30"/>
        <v>1980.1678231896685</v>
      </c>
      <c r="X61" s="380">
        <f t="shared" si="8"/>
        <v>1980.6538724589857</v>
      </c>
      <c r="Y61" s="381">
        <f t="shared" si="9"/>
        <v>990.32693622949284</v>
      </c>
      <c r="Z61" s="382">
        <f t="shared" si="31"/>
        <v>990.32693622949284</v>
      </c>
      <c r="AA61" s="383">
        <f t="shared" si="10"/>
        <v>0</v>
      </c>
      <c r="AB61" s="384">
        <f t="shared" si="32"/>
        <v>69814.954978101203</v>
      </c>
      <c r="AC61" s="379">
        <f t="shared" ca="1" si="33"/>
        <v>5941.9616173769573</v>
      </c>
      <c r="AD61" s="380">
        <f t="shared" ca="1" si="34"/>
        <v>3908.0705805641705</v>
      </c>
      <c r="AE61" s="380">
        <f t="shared" si="11"/>
        <v>0</v>
      </c>
      <c r="AF61" s="381">
        <f t="shared" si="12"/>
        <v>0</v>
      </c>
      <c r="AG61" s="382">
        <f t="shared" ca="1" si="35"/>
        <v>0</v>
      </c>
      <c r="AH61" s="383">
        <f t="shared" ca="1" si="13"/>
        <v>0</v>
      </c>
      <c r="AI61" s="384">
        <f t="shared" ca="1" si="36"/>
        <v>140119.05155008016</v>
      </c>
      <c r="AJ61" s="590">
        <f t="shared" ca="1" si="49"/>
        <v>26228.419279319838</v>
      </c>
      <c r="AK61" s="385">
        <f t="shared" ca="1" si="15"/>
        <v>0</v>
      </c>
      <c r="AL61" s="591">
        <f t="shared" ca="1" si="37"/>
        <v>401461.52082907077</v>
      </c>
      <c r="AM61" s="388">
        <f t="shared" si="16"/>
        <v>1409.7599924093704</v>
      </c>
      <c r="AN61" s="389">
        <f t="shared" si="38"/>
        <v>1620.9573693678371</v>
      </c>
      <c r="AO61" s="390">
        <f t="shared" si="39"/>
        <v>57062.62967403845</v>
      </c>
      <c r="AP61" s="389">
        <f t="shared" si="17"/>
        <v>2819.5199848187408</v>
      </c>
      <c r="AQ61" s="389">
        <f t="shared" si="40"/>
        <v>3241.9147387356743</v>
      </c>
      <c r="AR61" s="389">
        <f t="shared" si="41"/>
        <v>114125.2593480769</v>
      </c>
      <c r="AS61" s="384">
        <f t="shared" si="42"/>
        <v>69814.954978101203</v>
      </c>
      <c r="AT61" s="390">
        <f t="shared" si="18"/>
        <v>241002.84400021657</v>
      </c>
      <c r="AU61" s="373">
        <f t="shared" si="19"/>
        <v>0.60839212583118085</v>
      </c>
      <c r="AV61" s="387">
        <f t="shared" si="43"/>
        <v>173450</v>
      </c>
      <c r="AW61" s="387">
        <f t="shared" si="20"/>
        <v>-77002.844000216573</v>
      </c>
      <c r="AX61" s="374">
        <f t="shared" si="44"/>
        <v>0</v>
      </c>
      <c r="AY61" s="184">
        <f t="shared" si="48"/>
        <v>39</v>
      </c>
      <c r="AZ61" s="146"/>
      <c r="BA61" s="146"/>
      <c r="BB61" s="146"/>
      <c r="BC61" s="146"/>
      <c r="BD61" s="146"/>
      <c r="BE61" s="146"/>
    </row>
    <row r="62" spans="1:57" ht="13.5" thickBot="1">
      <c r="A62" s="391">
        <f t="shared" si="45"/>
        <v>40</v>
      </c>
      <c r="B62" s="392">
        <f t="shared" si="21"/>
        <v>406034.04385409201</v>
      </c>
      <c r="C62" s="393">
        <f t="shared" si="22"/>
        <v>28984.665443936654</v>
      </c>
      <c r="D62" s="394">
        <f t="shared" si="23"/>
        <v>0</v>
      </c>
      <c r="E62" s="395">
        <f t="shared" si="46"/>
        <v>28984.665443936654</v>
      </c>
      <c r="F62" s="396">
        <f t="shared" ca="1" si="24"/>
        <v>15398.908285504804</v>
      </c>
      <c r="G62" s="396">
        <f t="shared" ca="1" si="25"/>
        <v>44383.573729441458</v>
      </c>
      <c r="H62" s="401">
        <f t="shared" si="0"/>
        <v>812.06808770818407</v>
      </c>
      <c r="I62" s="402">
        <f t="shared" si="1"/>
        <v>3768.0065077117652</v>
      </c>
      <c r="J62" s="402">
        <f t="shared" ca="1" si="2"/>
        <v>31467.638398692132</v>
      </c>
      <c r="K62" s="402">
        <f t="shared" ca="1" si="3"/>
        <v>0</v>
      </c>
      <c r="L62" s="402">
        <f t="shared" ca="1" si="26"/>
        <v>0</v>
      </c>
      <c r="M62" s="405">
        <f t="shared" si="4"/>
        <v>5203.5</v>
      </c>
      <c r="N62" s="405">
        <f t="shared" ca="1" si="27"/>
        <v>41251.21299411208</v>
      </c>
      <c r="O62" s="494"/>
      <c r="P62" s="393">
        <f t="shared" ca="1" si="47"/>
        <v>3132.3607353293773</v>
      </c>
      <c r="Q62" s="406">
        <f ca="1">Tax!AU17</f>
        <v>-310.14853971258168</v>
      </c>
      <c r="R62" s="571">
        <f t="shared" ca="1" si="28"/>
        <v>2822.2121956167957</v>
      </c>
      <c r="S62" s="396">
        <f t="shared" si="5"/>
        <v>1449.2332721968328</v>
      </c>
      <c r="T62" s="397">
        <f t="shared" si="6"/>
        <v>2898.4665443936656</v>
      </c>
      <c r="U62" s="587">
        <f t="shared" ca="1" si="29"/>
        <v>520466.85486236744</v>
      </c>
      <c r="V62" s="398">
        <f t="shared" si="7"/>
        <v>2898.4665443936656</v>
      </c>
      <c r="W62" s="399">
        <f t="shared" si="30"/>
        <v>2094.4486493430359</v>
      </c>
      <c r="X62" s="399">
        <f t="shared" si="8"/>
        <v>2030.1702192704602</v>
      </c>
      <c r="Y62" s="400">
        <f t="shared" si="9"/>
        <v>1015.0851096352301</v>
      </c>
      <c r="Z62" s="401">
        <f t="shared" si="31"/>
        <v>1015.0851096352301</v>
      </c>
      <c r="AA62" s="402">
        <f t="shared" si="10"/>
        <v>0</v>
      </c>
      <c r="AB62" s="403">
        <f t="shared" si="32"/>
        <v>73792.785062202674</v>
      </c>
      <c r="AC62" s="398">
        <f t="shared" ca="1" si="33"/>
        <v>6090.51065781138</v>
      </c>
      <c r="AD62" s="399">
        <f t="shared" ca="1" si="34"/>
        <v>4203.5715465024041</v>
      </c>
      <c r="AE62" s="399">
        <f t="shared" si="11"/>
        <v>60905.106578113802</v>
      </c>
      <c r="AF62" s="400">
        <f t="shared" si="12"/>
        <v>30452.553289056901</v>
      </c>
      <c r="AG62" s="401">
        <f t="shared" ca="1" si="35"/>
        <v>30452.553289056901</v>
      </c>
      <c r="AH62" s="402">
        <f t="shared" ca="1" si="13"/>
        <v>0</v>
      </c>
      <c r="AI62" s="403">
        <f t="shared" ca="1" si="36"/>
        <v>119960.58046533704</v>
      </c>
      <c r="AJ62" s="592">
        <f t="shared" ca="1" si="49"/>
        <v>2822.2121956167957</v>
      </c>
      <c r="AK62" s="404">
        <f t="shared" ca="1" si="15"/>
        <v>0</v>
      </c>
      <c r="AL62" s="593">
        <f t="shared" ca="1" si="37"/>
        <v>404283.73302468756</v>
      </c>
      <c r="AM62" s="408">
        <f t="shared" si="16"/>
        <v>1449.2332721968328</v>
      </c>
      <c r="AN62" s="409">
        <f t="shared" si="38"/>
        <v>1711.8788902211534</v>
      </c>
      <c r="AO62" s="410">
        <f t="shared" si="39"/>
        <v>60223.741836456436</v>
      </c>
      <c r="AP62" s="409">
        <f t="shared" si="17"/>
        <v>2898.4665443936656</v>
      </c>
      <c r="AQ62" s="409">
        <f t="shared" si="40"/>
        <v>3423.7577804423067</v>
      </c>
      <c r="AR62" s="409">
        <f t="shared" si="41"/>
        <v>120447.48367291287</v>
      </c>
      <c r="AS62" s="403">
        <f t="shared" ca="1" si="42"/>
        <v>193753.36552753972</v>
      </c>
      <c r="AT62" s="410">
        <f t="shared" ca="1" si="18"/>
        <v>374424.59103690903</v>
      </c>
      <c r="AU62" s="411">
        <f t="shared" ca="1" si="19"/>
        <v>0.92215073268944459</v>
      </c>
      <c r="AV62" s="407">
        <f t="shared" si="43"/>
        <v>173450</v>
      </c>
      <c r="AW62" s="407">
        <f t="shared" ca="1" si="20"/>
        <v>-210424.59103690903</v>
      </c>
      <c r="AX62" s="412">
        <f t="shared" si="44"/>
        <v>0</v>
      </c>
      <c r="AY62" s="184">
        <f>AY61+1</f>
        <v>40</v>
      </c>
      <c r="AZ62" s="146"/>
      <c r="BA62" s="146"/>
      <c r="BB62" s="146"/>
      <c r="BC62" s="146"/>
      <c r="BD62" s="146"/>
      <c r="BE62" s="146"/>
    </row>
    <row r="63" spans="1:57" ht="13.5" thickBot="1">
      <c r="A63" s="345">
        <v>41</v>
      </c>
      <c r="B63" s="413">
        <f>B62*(1+$I$6)</f>
        <v>416184.89495044429</v>
      </c>
      <c r="C63" s="146"/>
      <c r="D63" s="182"/>
      <c r="E63" s="182"/>
      <c r="F63" s="182"/>
      <c r="G63" s="146"/>
      <c r="H63" s="182"/>
      <c r="I63" s="182"/>
      <c r="J63" s="182"/>
      <c r="K63" s="182"/>
      <c r="L63" s="182"/>
      <c r="M63" s="182"/>
      <c r="N63" s="182"/>
      <c r="O63" s="146"/>
      <c r="P63" s="182"/>
      <c r="Q63" s="146"/>
      <c r="R63" s="146"/>
      <c r="S63" s="146"/>
      <c r="T63" s="184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82"/>
      <c r="AF63" s="182"/>
      <c r="AG63" s="146"/>
      <c r="AH63" s="146"/>
      <c r="AI63" s="146"/>
      <c r="AJ63" s="146"/>
      <c r="AK63" s="146"/>
      <c r="AL63" s="146"/>
      <c r="AM63" s="146"/>
      <c r="AN63" s="146"/>
      <c r="AO63" s="146"/>
    </row>
    <row r="64" spans="1:57">
      <c r="A64" s="185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84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82"/>
      <c r="AF64" s="182"/>
      <c r="AG64" s="146"/>
      <c r="AH64" s="146"/>
      <c r="AI64" s="146"/>
      <c r="AJ64" s="146"/>
      <c r="AK64" s="146"/>
      <c r="AL64" s="146"/>
      <c r="AM64" s="146"/>
      <c r="AN64" s="146"/>
      <c r="AO64" s="146"/>
    </row>
    <row r="65" spans="1:41" ht="14.25">
      <c r="A65" s="414"/>
      <c r="B65" s="146"/>
      <c r="C65" s="146"/>
      <c r="D65" s="146"/>
      <c r="E65" s="146"/>
      <c r="F65" s="146"/>
      <c r="G65" s="146"/>
      <c r="H65" s="146"/>
      <c r="I65" s="182"/>
      <c r="J65" s="182"/>
      <c r="K65" s="146"/>
      <c r="L65" s="183"/>
      <c r="M65" s="182"/>
      <c r="N65" s="146"/>
      <c r="O65" s="146"/>
      <c r="P65" s="146"/>
      <c r="Q65" s="146"/>
      <c r="R65" s="146"/>
      <c r="S65" s="146"/>
      <c r="T65" s="184"/>
      <c r="U65" s="146"/>
      <c r="V65" s="146"/>
      <c r="W65" s="146"/>
      <c r="X65" s="182"/>
      <c r="Y65" s="182"/>
      <c r="Z65" s="182"/>
      <c r="AA65" s="182"/>
      <c r="AB65" s="182"/>
      <c r="AC65" s="146"/>
      <c r="AD65" s="182"/>
      <c r="AE65" s="182"/>
      <c r="AF65" s="182"/>
      <c r="AG65" s="146"/>
      <c r="AH65" s="146"/>
      <c r="AI65" s="146"/>
      <c r="AJ65" s="146"/>
      <c r="AK65" s="146"/>
      <c r="AL65" s="146"/>
      <c r="AM65" s="146"/>
      <c r="AN65" s="146"/>
      <c r="AO65" s="146"/>
    </row>
    <row r="66" spans="1:41" ht="14.25">
      <c r="A66" s="414"/>
      <c r="B66" s="146"/>
      <c r="C66" s="146"/>
      <c r="D66" s="146"/>
      <c r="E66" s="146"/>
      <c r="F66" s="146"/>
      <c r="G66" s="146"/>
      <c r="H66" s="146"/>
      <c r="I66" s="182"/>
      <c r="J66" s="182"/>
      <c r="K66" s="146"/>
      <c r="L66" s="183"/>
      <c r="M66" s="182"/>
      <c r="N66" s="146"/>
      <c r="O66" s="146"/>
      <c r="P66" s="146"/>
      <c r="Q66" s="146"/>
      <c r="R66" s="146"/>
      <c r="S66" s="146"/>
      <c r="T66" s="184"/>
      <c r="U66" s="146"/>
      <c r="V66" s="146"/>
      <c r="W66" s="146"/>
      <c r="X66" s="182"/>
      <c r="Y66" s="182"/>
      <c r="Z66" s="182"/>
      <c r="AA66" s="182"/>
      <c r="AB66" s="182"/>
      <c r="AC66" s="146"/>
      <c r="AD66" s="182"/>
      <c r="AE66" s="182"/>
      <c r="AF66" s="182"/>
      <c r="AG66" s="146"/>
      <c r="AH66" s="146"/>
      <c r="AI66" s="146"/>
      <c r="AJ66" s="146"/>
      <c r="AK66" s="146"/>
      <c r="AL66" s="146"/>
      <c r="AM66" s="146"/>
      <c r="AN66" s="146"/>
      <c r="AO66" s="146"/>
    </row>
  </sheetData>
  <conditionalFormatting sqref="P19:Q62 AH19:AH62 AI19:AI22">
    <cfRule type="cellIs" dxfId="0" priority="1" stopIfTrue="1" operator="lessThan">
      <formula>0</formula>
    </cfRule>
  </conditionalFormatting>
  <dataValidations count="1">
    <dataValidation type="list" allowBlank="1" showInputMessage="1" showErrorMessage="1" prompt=" - " sqref="J11">
      <formula1>"England or Northern Ireland,Scotland,Wales"</formula1>
    </dataValidation>
  </dataValidations>
  <hyperlinks>
    <hyperlink ref="I10" r:id="rId1"/>
    <hyperlink ref="Q16" r:id="rId2"/>
    <hyperlink ref="M17" r:id="rId3"/>
  </hyperlinks>
  <pageMargins left="0.39370078740157483" right="0.39370078740157483" top="0.39370078740157483" bottom="0.39370078740157483" header="0.31496062992125984" footer="0.31496062992125984"/>
  <pageSetup paperSize="9" scale="80" fitToWidth="4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116"/>
  <sheetViews>
    <sheetView topLeftCell="X76" zoomScale="120" zoomScaleNormal="120" workbookViewId="0">
      <selection activeCell="AF116" sqref="Y87:AF116"/>
    </sheetView>
  </sheetViews>
  <sheetFormatPr defaultColWidth="20.28515625" defaultRowHeight="12"/>
  <cols>
    <col min="1" max="1" width="19.85546875" style="652" bestFit="1" customWidth="1"/>
    <col min="2" max="2" width="7.5703125" style="652" customWidth="1"/>
    <col min="3" max="3" width="6.42578125" style="652" customWidth="1"/>
    <col min="4" max="4" width="27.28515625" style="652" customWidth="1"/>
    <col min="5" max="5" width="13.42578125" style="660" customWidth="1"/>
    <col min="6" max="9" width="13.42578125" style="652" customWidth="1"/>
    <col min="10" max="10" width="6" style="652" customWidth="1"/>
    <col min="11" max="11" width="2.42578125" style="674" customWidth="1"/>
    <col min="12" max="12" width="23" style="671" customWidth="1"/>
    <col min="13" max="13" width="7.140625" style="674" bestFit="1" customWidth="1"/>
    <col min="14" max="17" width="7.7109375" style="674" bestFit="1" customWidth="1"/>
    <col min="18" max="18" width="2.42578125" style="674" customWidth="1"/>
    <col min="19" max="19" width="31.140625" style="652" customWidth="1"/>
    <col min="20" max="24" width="10" style="652" customWidth="1"/>
    <col min="25" max="25" width="2.42578125" style="652" customWidth="1"/>
    <col min="26" max="26" width="22" style="652" customWidth="1"/>
    <col min="27" max="31" width="11.140625" style="652" customWidth="1"/>
    <col min="32" max="32" width="2.42578125" style="652" customWidth="1"/>
    <col min="33" max="16384" width="20.28515625" style="652"/>
  </cols>
  <sheetData>
    <row r="1" spans="1:32" ht="12.75" thickBot="1">
      <c r="A1" s="650" t="s">
        <v>370</v>
      </c>
      <c r="B1" s="651" t="s">
        <v>371</v>
      </c>
      <c r="D1" s="629"/>
      <c r="E1" s="630" t="s">
        <v>20</v>
      </c>
      <c r="F1" s="630" t="s">
        <v>21</v>
      </c>
      <c r="G1" s="630" t="s">
        <v>22</v>
      </c>
      <c r="H1" s="630" t="s">
        <v>23</v>
      </c>
      <c r="I1" s="631" t="s">
        <v>24</v>
      </c>
    </row>
    <row r="2" spans="1:32" ht="12.75" thickBot="1">
      <c r="A2" s="653" t="s">
        <v>372</v>
      </c>
      <c r="B2" s="654">
        <f>'Financial Model'!D2</f>
        <v>150000</v>
      </c>
      <c r="D2" s="632" t="s">
        <v>375</v>
      </c>
      <c r="E2" s="633"/>
      <c r="F2" s="634"/>
      <c r="G2" s="634"/>
      <c r="H2" s="634"/>
      <c r="I2" s="635"/>
    </row>
    <row r="3" spans="1:32" ht="12.75" thickBot="1">
      <c r="A3" s="655" t="s">
        <v>246</v>
      </c>
      <c r="B3" s="656">
        <f>'Financial Model'!D3</f>
        <v>9000</v>
      </c>
      <c r="D3" s="636" t="s">
        <v>376</v>
      </c>
      <c r="E3" s="637">
        <f>'Financial Model'!E23</f>
        <v>9872.7200000000012</v>
      </c>
      <c r="F3" s="638">
        <f>'Financial Model'!E24</f>
        <v>10149.156160000002</v>
      </c>
      <c r="G3" s="638">
        <f>'Financial Model'!E25</f>
        <v>10433.332532480003</v>
      </c>
      <c r="H3" s="638">
        <f>'Financial Model'!E26</f>
        <v>10725.465843389444</v>
      </c>
      <c r="I3" s="639">
        <f>'Financial Model'!E27</f>
        <v>11025.778887004348</v>
      </c>
    </row>
    <row r="4" spans="1:32" ht="12.75" thickBot="1">
      <c r="A4" s="657" t="s">
        <v>218</v>
      </c>
      <c r="B4" s="658">
        <f>'Financial Model'!D4</f>
        <v>5000</v>
      </c>
      <c r="D4" s="661" t="s">
        <v>377</v>
      </c>
      <c r="E4" s="662">
        <f>'Financial Model'!F23</f>
        <v>0</v>
      </c>
      <c r="F4" s="662">
        <f ca="1">'Financial Model'!F24</f>
        <v>281.18023200000005</v>
      </c>
      <c r="G4" s="662">
        <f ca="1">'Financial Model'!F25</f>
        <v>422.62669245600006</v>
      </c>
      <c r="H4" s="662">
        <f ca="1">'Financial Model'!F26</f>
        <v>576.47614059856824</v>
      </c>
      <c r="I4" s="663">
        <f ca="1">'Financial Model'!F27</f>
        <v>743.33074329611725</v>
      </c>
    </row>
    <row r="5" spans="1:32" ht="13.5" thickTop="1" thickBot="1">
      <c r="A5" s="655" t="s">
        <v>373</v>
      </c>
      <c r="B5" s="656">
        <f>'Financial Model'!D5</f>
        <v>164000</v>
      </c>
      <c r="D5" s="632" t="s">
        <v>378</v>
      </c>
      <c r="E5" s="633"/>
      <c r="F5" s="664"/>
      <c r="G5" s="664"/>
      <c r="H5" s="664"/>
      <c r="I5" s="635"/>
    </row>
    <row r="6" spans="1:32" ht="12.75" thickBot="1">
      <c r="A6" s="655" t="s">
        <v>224</v>
      </c>
      <c r="B6" s="656">
        <f>'Financial Model'!D6</f>
        <v>8200</v>
      </c>
      <c r="D6" s="632" t="s">
        <v>379</v>
      </c>
      <c r="E6" s="642">
        <f>'Financial Model'!J23</f>
        <v>387.5</v>
      </c>
      <c r="F6" s="638">
        <f ca="1">'Financial Model'!J24</f>
        <v>397.1875</v>
      </c>
      <c r="G6" s="638">
        <f ca="1">'Financial Model'!J25</f>
        <v>407.1171875</v>
      </c>
      <c r="H6" s="638">
        <f ca="1">'Financial Model'!J26</f>
        <v>417.29511718750001</v>
      </c>
      <c r="I6" s="643">
        <f ca="1">'Financial Model'!J27</f>
        <v>427.72749511718746</v>
      </c>
    </row>
    <row r="7" spans="1:32" ht="12.75" thickBot="1">
      <c r="A7" s="657" t="s">
        <v>366</v>
      </c>
      <c r="B7" s="658">
        <f>'Financial Model'!D7</f>
        <v>1250</v>
      </c>
      <c r="D7" s="636" t="s">
        <v>380</v>
      </c>
      <c r="E7" s="637">
        <f>'Financial Model'!H23</f>
        <v>310</v>
      </c>
      <c r="F7" s="638">
        <f>'Financial Model'!H24</f>
        <v>317.75</v>
      </c>
      <c r="G7" s="638">
        <f>'Financial Model'!H25</f>
        <v>325.69375000000002</v>
      </c>
      <c r="H7" s="638">
        <f>'Financial Model'!H26</f>
        <v>333.83609375000003</v>
      </c>
      <c r="I7" s="639">
        <f>'Financial Model'!H27</f>
        <v>342.18199609374994</v>
      </c>
    </row>
    <row r="8" spans="1:32" ht="13.5" thickTop="1" thickBot="1">
      <c r="A8" s="657" t="s">
        <v>374</v>
      </c>
      <c r="B8" s="658">
        <f>'Financial Model'!D8</f>
        <v>173450</v>
      </c>
      <c r="D8" s="640" t="s">
        <v>381</v>
      </c>
      <c r="E8" s="638">
        <f>'Financial Model'!I23</f>
        <v>1283.4536000000003</v>
      </c>
      <c r="F8" s="638">
        <f>'Financial Model'!I24</f>
        <v>1319.3903008000004</v>
      </c>
      <c r="G8" s="638">
        <f>'Financial Model'!I25</f>
        <v>1356.3332292224004</v>
      </c>
      <c r="H8" s="638">
        <f>'Financial Model'!I26</f>
        <v>1394.3105596406278</v>
      </c>
      <c r="I8" s="641">
        <f>'Financial Model'!I27</f>
        <v>1433.3512553105652</v>
      </c>
    </row>
    <row r="9" spans="1:32" ht="13.5" thickTop="1" thickBot="1">
      <c r="D9" s="632" t="s">
        <v>382</v>
      </c>
      <c r="E9" s="642">
        <f>'Financial Model'!M23</f>
        <v>0</v>
      </c>
      <c r="F9" s="638">
        <f>'Financial Model'!M24</f>
        <v>5203.5</v>
      </c>
      <c r="G9" s="638">
        <f>'Financial Model'!M25</f>
        <v>5203.5</v>
      </c>
      <c r="H9" s="638">
        <f>'Financial Model'!M26</f>
        <v>5203.5</v>
      </c>
      <c r="I9" s="643">
        <f>'Financial Model'!M27</f>
        <v>5203.5</v>
      </c>
    </row>
    <row r="10" spans="1:32" ht="12.75" thickBot="1">
      <c r="D10" s="632" t="s">
        <v>383</v>
      </c>
      <c r="E10" s="642">
        <f>'Financial Model'!U22</f>
        <v>9450</v>
      </c>
      <c r="F10" s="638">
        <v>0</v>
      </c>
      <c r="G10" s="638">
        <v>0</v>
      </c>
      <c r="H10" s="638">
        <v>0</v>
      </c>
      <c r="I10" s="643">
        <v>0</v>
      </c>
      <c r="AF10" s="692"/>
    </row>
    <row r="11" spans="1:32" ht="12.75" thickBot="1">
      <c r="D11" s="665" t="s">
        <v>384</v>
      </c>
      <c r="E11" s="666">
        <v>0</v>
      </c>
      <c r="F11" s="662">
        <v>0</v>
      </c>
      <c r="G11" s="662">
        <v>0</v>
      </c>
      <c r="H11" s="662">
        <v>0</v>
      </c>
      <c r="I11" s="667">
        <v>0</v>
      </c>
      <c r="AF11" s="692"/>
    </row>
    <row r="12" spans="1:32" ht="13.5" thickTop="1" thickBot="1">
      <c r="D12" s="665" t="s">
        <v>385</v>
      </c>
      <c r="E12" s="666">
        <f>'Financial Model'!P23</f>
        <v>-1558.2335999999996</v>
      </c>
      <c r="F12" s="668">
        <f ca="1">'Financial Model'!P24</f>
        <v>3192.5085912000022</v>
      </c>
      <c r="G12" s="668">
        <f ca="1">'Financial Model'!P25</f>
        <v>3563.3150582136022</v>
      </c>
      <c r="H12" s="668">
        <f ca="1">'Financial Model'!P26</f>
        <v>3953.0002134098841</v>
      </c>
      <c r="I12" s="667">
        <f ca="1">'Financial Model'!P27</f>
        <v>4362.3488837789628</v>
      </c>
      <c r="AF12" s="692"/>
    </row>
    <row r="13" spans="1:32" ht="13.5" thickTop="1" thickBot="1">
      <c r="D13" s="665" t="s">
        <v>386</v>
      </c>
      <c r="E13" s="666">
        <f>'Financial Model'!AP23</f>
        <v>987.27200000000016</v>
      </c>
      <c r="F13" s="668">
        <f>'Financial Model'!AP24</f>
        <v>1014.9156160000002</v>
      </c>
      <c r="G13" s="668">
        <f>'Financial Model'!AP25</f>
        <v>1043.3332532480003</v>
      </c>
      <c r="H13" s="668">
        <f>'Financial Model'!AP26</f>
        <v>1072.5465843389445</v>
      </c>
      <c r="I13" s="667">
        <f>'Financial Model'!AP27</f>
        <v>1102.5778887004349</v>
      </c>
      <c r="AF13" s="692"/>
    </row>
    <row r="14" spans="1:32" ht="13.5" thickTop="1" thickBot="1">
      <c r="D14" s="665" t="s">
        <v>79</v>
      </c>
      <c r="E14" s="666">
        <f ca="1">'Financial Model'!U23</f>
        <v>9372.6744000000017</v>
      </c>
      <c r="F14" s="668">
        <f ca="1">'Financial Model'!U24</f>
        <v>14087.556415200002</v>
      </c>
      <c r="G14" s="668">
        <f ca="1">'Financial Model'!U25</f>
        <v>19215.871353285609</v>
      </c>
      <c r="H14" s="668">
        <f ca="1">'Financial Model'!U26</f>
        <v>24777.691443203908</v>
      </c>
      <c r="I14" s="667">
        <f ca="1">'Financial Model'!U27</f>
        <v>30759.782055512387</v>
      </c>
      <c r="AF14" s="692"/>
    </row>
    <row r="15" spans="1:32" ht="13.5" thickTop="1" thickBot="1">
      <c r="D15" s="665" t="s">
        <v>318</v>
      </c>
      <c r="E15" s="666">
        <f>'Financial Model'!AT23</f>
        <v>2080.6800000000003</v>
      </c>
      <c r="F15" s="668">
        <f>'Financial Model'!AT24</f>
        <v>4283.2019400000008</v>
      </c>
      <c r="G15" s="668">
        <f>'Financial Model'!AT25</f>
        <v>6612.9139438200018</v>
      </c>
      <c r="H15" s="668">
        <f>'Financial Model'!AT26</f>
        <v>9075.3727057944634</v>
      </c>
      <c r="I15" s="667">
        <f>'Financial Model'!AT27</f>
        <v>11676.351113602197</v>
      </c>
      <c r="AF15" s="692"/>
    </row>
    <row r="16" spans="1:32" ht="12.75" thickTop="1">
      <c r="D16" s="644" t="s">
        <v>390</v>
      </c>
      <c r="E16" s="645" t="s">
        <v>387</v>
      </c>
      <c r="F16" s="645" t="s">
        <v>388</v>
      </c>
      <c r="G16" s="645" t="s">
        <v>389</v>
      </c>
      <c r="H16" s="645" t="s">
        <v>391</v>
      </c>
      <c r="I16" s="646" t="s">
        <v>392</v>
      </c>
      <c r="J16" s="659"/>
      <c r="AF16" s="692"/>
    </row>
    <row r="17" spans="4:32" ht="12.75" thickBot="1">
      <c r="D17" s="647"/>
      <c r="E17" s="648" t="str">
        <f>INT('Financial Model'!AU27*1000)/10&amp;"%"</f>
        <v>6.8%</v>
      </c>
      <c r="F17" s="648" t="str">
        <f ca="1">INT('Financial Model'!AU32*1000)/10&amp;"%"</f>
        <v>18.1%</v>
      </c>
      <c r="G17" s="648" t="str">
        <f ca="1">INT('Financial Model'!AU42*1000)/10&amp;"%"</f>
        <v>40.8%</v>
      </c>
      <c r="H17" s="648" t="str">
        <f ca="1">INT('Financial Model'!AU52*1000)/10&amp;"%"</f>
        <v>65.6%</v>
      </c>
      <c r="I17" s="649" t="str">
        <f ca="1">INT('Financial Model'!AU62*1000)/10&amp;"%"</f>
        <v>92.2%</v>
      </c>
      <c r="AF17" s="692"/>
    </row>
    <row r="18" spans="4:32" ht="9.9499999999999993" customHeight="1">
      <c r="K18" s="669"/>
      <c r="L18" s="670"/>
      <c r="M18" s="669"/>
      <c r="N18" s="669"/>
      <c r="O18" s="669"/>
      <c r="P18" s="669"/>
      <c r="Q18" s="669"/>
      <c r="R18" s="669"/>
      <c r="AF18" s="692"/>
    </row>
    <row r="19" spans="4:32" ht="9.9499999999999993" customHeight="1">
      <c r="K19" s="669"/>
      <c r="M19" s="672" t="s">
        <v>20</v>
      </c>
      <c r="N19" s="672" t="s">
        <v>21</v>
      </c>
      <c r="O19" s="672" t="s">
        <v>22</v>
      </c>
      <c r="P19" s="672" t="s">
        <v>23</v>
      </c>
      <c r="Q19" s="672" t="s">
        <v>24</v>
      </c>
      <c r="R19" s="669"/>
      <c r="AF19" s="692"/>
    </row>
    <row r="20" spans="4:32" ht="9.9499999999999993" customHeight="1">
      <c r="K20" s="669"/>
      <c r="M20" s="673" t="s">
        <v>25</v>
      </c>
      <c r="N20" s="673" t="s">
        <v>25</v>
      </c>
      <c r="O20" s="673" t="s">
        <v>25</v>
      </c>
      <c r="P20" s="673" t="s">
        <v>25</v>
      </c>
      <c r="Q20" s="673" t="s">
        <v>25</v>
      </c>
      <c r="R20" s="669"/>
      <c r="AF20" s="692"/>
    </row>
    <row r="21" spans="4:32" ht="9.9499999999999993" customHeight="1">
      <c r="K21" s="669"/>
      <c r="L21" s="671" t="str">
        <f>'P&amp;L'!B4</f>
        <v>Turnover</v>
      </c>
      <c r="R21" s="669"/>
      <c r="AF21" s="692"/>
    </row>
    <row r="22" spans="4:32" ht="9.9499999999999993" customHeight="1">
      <c r="K22" s="669"/>
      <c r="L22" s="677" t="str">
        <f>'P&amp;L'!B5</f>
        <v>Rent Received</v>
      </c>
      <c r="M22" s="675">
        <f>'P&amp;L'!H5</f>
        <v>9872.7200000000012</v>
      </c>
      <c r="N22" s="675">
        <f>'P&amp;L'!I5</f>
        <v>10149.156160000002</v>
      </c>
      <c r="O22" s="675">
        <f>'P&amp;L'!J5</f>
        <v>10433.332532480003</v>
      </c>
      <c r="P22" s="675">
        <f>'P&amp;L'!K5</f>
        <v>10725.465843389444</v>
      </c>
      <c r="Q22" s="675">
        <f>'P&amp;L'!L5</f>
        <v>11025.778887004348</v>
      </c>
      <c r="R22" s="669"/>
      <c r="AF22" s="692"/>
    </row>
    <row r="23" spans="4:32" ht="9.9499999999999993" customHeight="1">
      <c r="K23" s="669"/>
      <c r="L23" s="677" t="str">
        <f>'P&amp;L'!B6</f>
        <v>Bank Interests</v>
      </c>
      <c r="M23" s="675">
        <f>'P&amp;L'!H6</f>
        <v>0</v>
      </c>
      <c r="N23" s="675">
        <f ca="1">'P&amp;L'!I6</f>
        <v>281.18023200000005</v>
      </c>
      <c r="O23" s="675">
        <f ca="1">'P&amp;L'!J6</f>
        <v>422.62669245600006</v>
      </c>
      <c r="P23" s="675">
        <f ca="1">'P&amp;L'!K6</f>
        <v>576.47614059856824</v>
      </c>
      <c r="Q23" s="675">
        <f ca="1">'P&amp;L'!L6</f>
        <v>743.33074329611725</v>
      </c>
      <c r="R23" s="669"/>
      <c r="AF23" s="692"/>
    </row>
    <row r="24" spans="4:32" ht="9.9499999999999993" customHeight="1">
      <c r="K24" s="669"/>
      <c r="M24" s="675"/>
      <c r="N24" s="675"/>
      <c r="O24" s="675"/>
      <c r="P24" s="675"/>
      <c r="Q24" s="675"/>
      <c r="R24" s="669"/>
      <c r="AF24" s="692"/>
    </row>
    <row r="25" spans="4:32" ht="9.9499999999999993" customHeight="1">
      <c r="K25" s="669"/>
      <c r="L25" s="671" t="str">
        <f>'P&amp;L'!B8</f>
        <v>Total Income</v>
      </c>
      <c r="M25" s="676">
        <f>SUM(M22:M24)</f>
        <v>9872.7200000000012</v>
      </c>
      <c r="N25" s="676">
        <f t="shared" ref="N25:Q25" ca="1" si="0">SUM(N22:N24)</f>
        <v>10430.336392000003</v>
      </c>
      <c r="O25" s="676">
        <f t="shared" ca="1" si="0"/>
        <v>10855.959224936003</v>
      </c>
      <c r="P25" s="676">
        <f t="shared" ca="1" si="0"/>
        <v>11301.941983988012</v>
      </c>
      <c r="Q25" s="676">
        <f t="shared" ca="1" si="0"/>
        <v>11769.109630300465</v>
      </c>
      <c r="R25" s="669"/>
      <c r="AF25" s="692"/>
    </row>
    <row r="26" spans="4:32" ht="9.9499999999999993" customHeight="1">
      <c r="K26" s="669"/>
      <c r="M26" s="675"/>
      <c r="N26" s="675"/>
      <c r="O26" s="675"/>
      <c r="P26" s="675"/>
      <c r="Q26" s="675"/>
      <c r="R26" s="669"/>
      <c r="AF26" s="692"/>
    </row>
    <row r="27" spans="4:32" ht="9.9499999999999993" customHeight="1">
      <c r="K27" s="669"/>
      <c r="L27" s="671" t="str">
        <f>'P&amp;L'!B10</f>
        <v>(Less Overheads)</v>
      </c>
      <c r="M27" s="675"/>
      <c r="N27" s="675"/>
      <c r="O27" s="675"/>
      <c r="P27" s="675"/>
      <c r="Q27" s="675"/>
      <c r="R27" s="669"/>
      <c r="AF27" s="692"/>
    </row>
    <row r="28" spans="4:32" ht="9.9499999999999993" customHeight="1">
      <c r="K28" s="669"/>
      <c r="L28" s="677" t="str">
        <f>'P&amp;L'!B12</f>
        <v>Property Mgmt Costs</v>
      </c>
      <c r="M28" s="675">
        <f>'P&amp;L'!H12</f>
        <v>-1283.4536000000003</v>
      </c>
      <c r="N28" s="675">
        <f>'P&amp;L'!I12</f>
        <v>-1319.3903008000004</v>
      </c>
      <c r="O28" s="675">
        <f>'P&amp;L'!J12</f>
        <v>-1356.3332292224004</v>
      </c>
      <c r="P28" s="675">
        <f>'P&amp;L'!K12</f>
        <v>-1394.3105596406278</v>
      </c>
      <c r="Q28" s="675">
        <f>'P&amp;L'!L12</f>
        <v>-1433.3512553105652</v>
      </c>
      <c r="R28" s="669"/>
      <c r="AF28" s="692"/>
    </row>
    <row r="29" spans="4:32" ht="9.9499999999999993" customHeight="1">
      <c r="K29" s="669"/>
      <c r="L29" s="677" t="str">
        <f>'P&amp;L'!B15</f>
        <v>Repairs and Renewals</v>
      </c>
      <c r="M29" s="675">
        <f>'P&amp;L'!H15</f>
        <v>-387.5</v>
      </c>
      <c r="N29" s="675">
        <f ca="1">'P&amp;L'!I15</f>
        <v>-397.1875</v>
      </c>
      <c r="O29" s="675">
        <f ca="1">'P&amp;L'!J15</f>
        <v>-407.1171875</v>
      </c>
      <c r="P29" s="675">
        <f ca="1">'P&amp;L'!K15</f>
        <v>-417.29511718750001</v>
      </c>
      <c r="Q29" s="675">
        <f ca="1">'P&amp;L'!L15</f>
        <v>-427.72749511718746</v>
      </c>
      <c r="R29" s="669"/>
      <c r="AF29" s="692"/>
    </row>
    <row r="30" spans="4:32" ht="9.9499999999999993" customHeight="1">
      <c r="K30" s="669"/>
      <c r="L30" s="677" t="str">
        <f>'P&amp;L'!B16</f>
        <v>Insurance</v>
      </c>
      <c r="M30" s="675">
        <f>'P&amp;L'!H16</f>
        <v>-310</v>
      </c>
      <c r="N30" s="675">
        <f>'P&amp;L'!I16</f>
        <v>-317.75</v>
      </c>
      <c r="O30" s="675">
        <f>'P&amp;L'!J16</f>
        <v>-325.69375000000002</v>
      </c>
      <c r="P30" s="675">
        <f>'P&amp;L'!K16</f>
        <v>-333.83609375000003</v>
      </c>
      <c r="Q30" s="675">
        <f>'P&amp;L'!L16</f>
        <v>-342.18199609374994</v>
      </c>
      <c r="R30" s="669"/>
      <c r="AF30" s="692"/>
    </row>
    <row r="31" spans="4:32" ht="9.9499999999999993" customHeight="1">
      <c r="K31" s="669"/>
      <c r="L31" s="677" t="str">
        <f>'P&amp;L'!B17</f>
        <v>Fundraising Fees &amp; Costs</v>
      </c>
      <c r="M31" s="675"/>
      <c r="N31" s="675"/>
      <c r="O31" s="675"/>
      <c r="P31" s="675"/>
      <c r="Q31" s="675"/>
      <c r="R31" s="669"/>
      <c r="AF31" s="692"/>
    </row>
    <row r="32" spans="4:32" ht="9.9499999999999993" customHeight="1">
      <c r="K32" s="669"/>
      <c r="L32" s="671" t="str">
        <f>'P&amp;L'!B18</f>
        <v>(Total Overheads)</v>
      </c>
      <c r="M32" s="676">
        <f>SUM(M28:M31)</f>
        <v>-1980.9536000000003</v>
      </c>
      <c r="N32" s="676">
        <f ca="1">SUM(N28:N31)</f>
        <v>-2034.3278008000004</v>
      </c>
      <c r="O32" s="676">
        <f ca="1">SUM(O28:O31)</f>
        <v>-2089.1441667224003</v>
      </c>
      <c r="P32" s="676">
        <f ca="1">SUM(P28:P31)</f>
        <v>-2145.4417705781279</v>
      </c>
      <c r="Q32" s="676">
        <f ca="1">SUM(Q28:Q31)</f>
        <v>-2203.2607465215028</v>
      </c>
      <c r="R32" s="669"/>
      <c r="AF32" s="692"/>
    </row>
    <row r="33" spans="11:32" ht="9.9499999999999993" customHeight="1">
      <c r="K33" s="669"/>
      <c r="M33" s="675"/>
      <c r="N33" s="675"/>
      <c r="O33" s="675"/>
      <c r="P33" s="675"/>
      <c r="Q33" s="675"/>
      <c r="R33" s="669"/>
      <c r="AF33" s="692"/>
    </row>
    <row r="34" spans="11:32" ht="9.9499999999999993" customHeight="1">
      <c r="K34" s="669"/>
      <c r="L34" s="671" t="str">
        <f>'P&amp;L'!B20</f>
        <v>EBITDA</v>
      </c>
      <c r="M34" s="676">
        <f>M25+M32</f>
        <v>7891.7664000000004</v>
      </c>
      <c r="N34" s="676">
        <f ca="1">N25+N32</f>
        <v>8396.0085912000031</v>
      </c>
      <c r="O34" s="676">
        <f ca="1">O25+O32</f>
        <v>8766.8150582136022</v>
      </c>
      <c r="P34" s="676">
        <f ca="1">P25+P32</f>
        <v>9156.5002134098831</v>
      </c>
      <c r="Q34" s="676">
        <f ca="1">Q25+Q32</f>
        <v>9565.8488837789628</v>
      </c>
      <c r="R34" s="669"/>
      <c r="AF34" s="692"/>
    </row>
    <row r="35" spans="11:32" ht="9.9499999999999993" customHeight="1">
      <c r="K35" s="669"/>
      <c r="M35" s="675"/>
      <c r="N35" s="675"/>
      <c r="O35" s="675"/>
      <c r="P35" s="675"/>
      <c r="Q35" s="675"/>
      <c r="R35" s="669"/>
      <c r="AF35" s="692"/>
    </row>
    <row r="36" spans="11:32" ht="9.9499999999999993" customHeight="1">
      <c r="K36" s="669"/>
      <c r="L36" s="671" t="str">
        <f>'P&amp;L'!B22</f>
        <v>(Less Interest)</v>
      </c>
      <c r="M36" s="675"/>
      <c r="N36" s="675"/>
      <c r="O36" s="675"/>
      <c r="P36" s="675"/>
      <c r="Q36" s="675"/>
      <c r="R36" s="669"/>
      <c r="AF36" s="692"/>
    </row>
    <row r="37" spans="11:32" ht="9.9499999999999993" customHeight="1">
      <c r="K37" s="669"/>
      <c r="L37" s="677" t="str">
        <f>'P&amp;L'!B23</f>
        <v>Community Shares</v>
      </c>
      <c r="M37" s="675">
        <f>'P&amp;L'!H23</f>
        <v>0</v>
      </c>
      <c r="N37" s="675">
        <f>'P&amp;L'!I23</f>
        <v>-5203.5</v>
      </c>
      <c r="O37" s="675">
        <f>'P&amp;L'!J23</f>
        <v>-5203.5</v>
      </c>
      <c r="P37" s="675">
        <f>'P&amp;L'!K23</f>
        <v>-5203.5</v>
      </c>
      <c r="Q37" s="675">
        <f>'P&amp;L'!L23</f>
        <v>-5203.5</v>
      </c>
      <c r="R37" s="669"/>
      <c r="AF37" s="692"/>
    </row>
    <row r="38" spans="11:32" ht="9.9499999999999993" customHeight="1">
      <c r="K38" s="669"/>
      <c r="L38" s="677" t="str">
        <f>'P&amp;L'!B24</f>
        <v>Mortgage</v>
      </c>
      <c r="M38" s="675"/>
      <c r="N38" s="675">
        <f>-Mortgage!O15</f>
        <v>0</v>
      </c>
      <c r="O38" s="675">
        <f>-Mortgage!P15</f>
        <v>0</v>
      </c>
      <c r="P38" s="675">
        <f>-Mortgage!Q15</f>
        <v>0</v>
      </c>
      <c r="Q38" s="675">
        <f>-Mortgage!R15</f>
        <v>0</v>
      </c>
      <c r="R38" s="669"/>
      <c r="AF38" s="692"/>
    </row>
    <row r="39" spans="11:32" ht="9.9499999999999993" customHeight="1">
      <c r="K39" s="669"/>
      <c r="L39" s="671" t="str">
        <f>'P&amp;L'!B25</f>
        <v>(Total Interest)</v>
      </c>
      <c r="M39" s="676">
        <f t="shared" ref="M39:Q39" si="1">SUM(M37:M38)</f>
        <v>0</v>
      </c>
      <c r="N39" s="676">
        <f t="shared" si="1"/>
        <v>-5203.5</v>
      </c>
      <c r="O39" s="676">
        <f t="shared" si="1"/>
        <v>-5203.5</v>
      </c>
      <c r="P39" s="676">
        <f t="shared" si="1"/>
        <v>-5203.5</v>
      </c>
      <c r="Q39" s="676">
        <f t="shared" si="1"/>
        <v>-5203.5</v>
      </c>
      <c r="R39" s="669"/>
      <c r="AF39" s="692"/>
    </row>
    <row r="40" spans="11:32" ht="9.9499999999999993" customHeight="1">
      <c r="K40" s="669"/>
      <c r="M40" s="675"/>
      <c r="N40" s="675"/>
      <c r="O40" s="675"/>
      <c r="P40" s="675"/>
      <c r="Q40" s="675"/>
      <c r="R40" s="669"/>
      <c r="AF40" s="692"/>
    </row>
    <row r="41" spans="11:32" ht="9.9499999999999993" customHeight="1">
      <c r="K41" s="669"/>
      <c r="L41" s="671" t="str">
        <f>'P&amp;L'!B27</f>
        <v>(Extra-Ordinary Day 1 Costs)</v>
      </c>
      <c r="M41" s="675"/>
      <c r="N41" s="675"/>
      <c r="O41" s="675"/>
      <c r="P41" s="675"/>
      <c r="Q41" s="675"/>
      <c r="R41" s="669"/>
      <c r="AF41" s="692"/>
    </row>
    <row r="42" spans="11:32" ht="9.9499999999999993" customHeight="1">
      <c r="K42" s="669"/>
      <c r="L42" s="677" t="str">
        <f>'P&amp;L'!B28</f>
        <v>Other costs</v>
      </c>
      <c r="M42" s="675">
        <f>'P&amp;L'!H28</f>
        <v>0</v>
      </c>
      <c r="N42" s="675">
        <f>'P&amp;L'!I28</f>
        <v>0</v>
      </c>
      <c r="O42" s="675">
        <f>'P&amp;L'!J28</f>
        <v>0</v>
      </c>
      <c r="P42" s="675">
        <f>'P&amp;L'!K28</f>
        <v>0</v>
      </c>
      <c r="Q42" s="675">
        <f>'P&amp;L'!L28</f>
        <v>0</v>
      </c>
      <c r="R42" s="669"/>
      <c r="AF42" s="692"/>
    </row>
    <row r="43" spans="11:32" ht="9.9499999999999993" customHeight="1">
      <c r="K43" s="669"/>
      <c r="L43" s="677" t="str">
        <f>'P&amp;L'!B29</f>
        <v>Business Development</v>
      </c>
      <c r="M43" s="675">
        <f>-'Start Up Costs'!T7</f>
        <v>0</v>
      </c>
      <c r="N43" s="675">
        <f>-'Start Up Costs'!U7</f>
        <v>0</v>
      </c>
      <c r="O43" s="675">
        <f>-'Start Up Costs'!V7</f>
        <v>0</v>
      </c>
      <c r="P43" s="675">
        <f>-'Start Up Costs'!W7</f>
        <v>0</v>
      </c>
      <c r="Q43" s="675">
        <f>-'Start Up Costs'!X7</f>
        <v>0</v>
      </c>
      <c r="R43" s="669"/>
      <c r="AF43" s="692"/>
    </row>
    <row r="44" spans="11:32" ht="9.9499999999999993" customHeight="1">
      <c r="K44" s="669"/>
      <c r="L44" s="671" t="str">
        <f>'P&amp;L'!B30</f>
        <v>(Total Extra-Ordinary Day 1 Costs)</v>
      </c>
      <c r="M44" s="676">
        <f t="shared" ref="M44:Q44" si="2">SUM(M42:M43)</f>
        <v>0</v>
      </c>
      <c r="N44" s="676">
        <f t="shared" si="2"/>
        <v>0</v>
      </c>
      <c r="O44" s="676">
        <f t="shared" si="2"/>
        <v>0</v>
      </c>
      <c r="P44" s="676">
        <f t="shared" si="2"/>
        <v>0</v>
      </c>
      <c r="Q44" s="676">
        <f t="shared" si="2"/>
        <v>0</v>
      </c>
      <c r="R44" s="669"/>
      <c r="AF44" s="692"/>
    </row>
    <row r="45" spans="11:32" ht="9.9499999999999993" customHeight="1">
      <c r="K45" s="669"/>
      <c r="M45" s="675"/>
      <c r="N45" s="675"/>
      <c r="O45" s="675"/>
      <c r="P45" s="675"/>
      <c r="Q45" s="675"/>
      <c r="R45" s="669"/>
      <c r="AF45" s="692"/>
    </row>
    <row r="46" spans="11:32" ht="9.9499999999999993" customHeight="1">
      <c r="K46" s="669"/>
      <c r="L46" s="671" t="str">
        <f>'P&amp;L'!B32</f>
        <v>Gross Profit</v>
      </c>
      <c r="M46" s="676">
        <f t="shared" ref="M46:Q46" si="3">M34+M39+M44</f>
        <v>7891.7664000000004</v>
      </c>
      <c r="N46" s="676">
        <f t="shared" ca="1" si="3"/>
        <v>3192.5085912000031</v>
      </c>
      <c r="O46" s="676">
        <f t="shared" ca="1" si="3"/>
        <v>3563.3150582136022</v>
      </c>
      <c r="P46" s="676">
        <f t="shared" ca="1" si="3"/>
        <v>3953.0002134098831</v>
      </c>
      <c r="Q46" s="676">
        <f t="shared" ca="1" si="3"/>
        <v>4362.3488837789628</v>
      </c>
      <c r="R46" s="669"/>
      <c r="AF46" s="692"/>
    </row>
    <row r="47" spans="11:32" ht="9.9499999999999993" customHeight="1">
      <c r="K47" s="669"/>
      <c r="L47" s="671" t="str">
        <f>'P&amp;L'!B33</f>
        <v>(less Tax)</v>
      </c>
      <c r="M47" s="675">
        <f ca="1">'P&amp;L'!H33</f>
        <v>0</v>
      </c>
      <c r="N47" s="675">
        <f ca="1">'P&amp;L'!I33</f>
        <v>0</v>
      </c>
      <c r="O47" s="675">
        <f ca="1">'P&amp;L'!J33</f>
        <v>0</v>
      </c>
      <c r="P47" s="675">
        <f ca="1">'P&amp;L'!K33</f>
        <v>0</v>
      </c>
      <c r="Q47" s="675">
        <f ca="1">'P&amp;L'!L33</f>
        <v>-34.125104521132378</v>
      </c>
      <c r="R47" s="669"/>
      <c r="AF47" s="692"/>
    </row>
    <row r="48" spans="11:32" ht="9.9499999999999993" customHeight="1">
      <c r="K48" s="669"/>
      <c r="L48" s="671" t="str">
        <f>'P&amp;L'!B34</f>
        <v>Net Profit</v>
      </c>
      <c r="M48" s="678">
        <f t="shared" ref="M48:Q48" ca="1" si="4">SUM(M46:M47)</f>
        <v>7891.7664000000004</v>
      </c>
      <c r="N48" s="678">
        <f t="shared" ca="1" si="4"/>
        <v>3192.5085912000031</v>
      </c>
      <c r="O48" s="678">
        <f t="shared" ca="1" si="4"/>
        <v>3563.3150582136022</v>
      </c>
      <c r="P48" s="678">
        <f t="shared" ca="1" si="4"/>
        <v>3953.0002134098831</v>
      </c>
      <c r="Q48" s="678">
        <f t="shared" ca="1" si="4"/>
        <v>4328.2237792578308</v>
      </c>
      <c r="R48" s="669"/>
      <c r="AF48" s="692"/>
    </row>
    <row r="49" spans="11:32" ht="9.9499999999999993" customHeight="1">
      <c r="K49" s="669"/>
      <c r="M49" s="675"/>
      <c r="N49" s="675"/>
      <c r="O49" s="675"/>
      <c r="P49" s="675"/>
      <c r="Q49" s="675"/>
      <c r="R49" s="669"/>
      <c r="AF49" s="692"/>
    </row>
    <row r="50" spans="11:32" ht="9.9499999999999993" customHeight="1">
      <c r="K50" s="669"/>
      <c r="L50" s="671" t="str">
        <f>'P&amp;L'!B36</f>
        <v>Asset Appreciation</v>
      </c>
      <c r="M50" s="675"/>
      <c r="N50" s="675"/>
      <c r="O50" s="675"/>
      <c r="P50" s="675"/>
      <c r="Q50" s="675"/>
      <c r="R50" s="669"/>
      <c r="AF50" s="692"/>
    </row>
    <row r="51" spans="11:32" ht="9.9499999999999993" customHeight="1">
      <c r="K51" s="669"/>
      <c r="L51" s="677" t="str">
        <f>'P&amp;L'!B37</f>
        <v>Land &amp; Buildings</v>
      </c>
      <c r="M51" s="675">
        <f ca="1">'P&amp;L'!H37</f>
        <v>-1500</v>
      </c>
      <c r="N51" s="675">
        <f ca="1">'P&amp;L'!I37</f>
        <v>-1500</v>
      </c>
      <c r="O51" s="675">
        <f ca="1">'P&amp;L'!J37</f>
        <v>-1500</v>
      </c>
      <c r="P51" s="675">
        <f ca="1">'P&amp;L'!K37</f>
        <v>-1500</v>
      </c>
      <c r="Q51" s="675">
        <f ca="1">'P&amp;L'!L37</f>
        <v>-1500</v>
      </c>
      <c r="R51" s="669"/>
      <c r="AF51" s="692"/>
    </row>
    <row r="52" spans="11:32" ht="9.9499999999999993" customHeight="1">
      <c r="K52" s="669"/>
      <c r="L52" s="677" t="str">
        <f>'P&amp;L'!B38</f>
        <v>Fixtures and Fittings</v>
      </c>
      <c r="M52" s="679">
        <f ca="1">'P&amp;L'!H38</f>
        <v>-166.66666666666666</v>
      </c>
      <c r="N52" s="679">
        <f ca="1">'P&amp;L'!I38</f>
        <v>-166.66666666666697</v>
      </c>
      <c r="O52" s="679">
        <f ca="1">'P&amp;L'!J38</f>
        <v>-166.66666666666697</v>
      </c>
      <c r="P52" s="679">
        <f ca="1">'P&amp;L'!K38</f>
        <v>-166.66666666666697</v>
      </c>
      <c r="Q52" s="679">
        <f ca="1">'P&amp;L'!L38</f>
        <v>-166.66666666666697</v>
      </c>
      <c r="R52" s="669"/>
      <c r="AF52" s="692"/>
    </row>
    <row r="53" spans="11:32" ht="9.9499999999999993" customHeight="1">
      <c r="K53" s="669"/>
      <c r="L53" s="677" t="str">
        <f>'P&amp;L'!B39</f>
        <v>Total Asset Depreciation</v>
      </c>
      <c r="M53" s="675">
        <f ca="1">SUM(M51:M52)</f>
        <v>-1666.6666666666667</v>
      </c>
      <c r="N53" s="675">
        <f ca="1">N52+N51</f>
        <v>-1666.666666666667</v>
      </c>
      <c r="O53" s="675">
        <f t="shared" ref="O53:Q53" ca="1" si="5">O52+O51</f>
        <v>-1666.666666666667</v>
      </c>
      <c r="P53" s="675">
        <f t="shared" ca="1" si="5"/>
        <v>-1666.666666666667</v>
      </c>
      <c r="Q53" s="675">
        <f t="shared" ca="1" si="5"/>
        <v>-1666.666666666667</v>
      </c>
      <c r="R53" s="669"/>
      <c r="AF53" s="692"/>
    </row>
    <row r="54" spans="11:32" ht="9.9499999999999993" customHeight="1">
      <c r="K54" s="669"/>
      <c r="L54" s="677" t="str">
        <f>'P&amp;L'!B40</f>
        <v>Property Appreciation</v>
      </c>
      <c r="M54" s="675">
        <f>'P&amp;L'!H40</f>
        <v>3875</v>
      </c>
      <c r="N54" s="675">
        <f>'P&amp;L'!I40</f>
        <v>3971.875</v>
      </c>
      <c r="O54" s="675">
        <f>'P&amp;L'!J40</f>
        <v>4071.171875</v>
      </c>
      <c r="P54" s="675">
        <f>'P&amp;L'!K40</f>
        <v>4172.9511718749709</v>
      </c>
      <c r="Q54" s="675">
        <f>'P&amp;L'!L40</f>
        <v>4277.2749511718575</v>
      </c>
      <c r="R54" s="669"/>
      <c r="AF54" s="692"/>
    </row>
    <row r="55" spans="11:32" ht="9.9499999999999993" customHeight="1" thickBot="1">
      <c r="K55" s="669"/>
      <c r="L55" s="671" t="str">
        <f>'P&amp;L'!B41</f>
        <v>Total Appreciation</v>
      </c>
      <c r="M55" s="676">
        <f ca="1">SUM(M53:M54)</f>
        <v>2208.333333333333</v>
      </c>
      <c r="N55" s="676">
        <f t="shared" ref="N55:Q55" ca="1" si="6">SUM(N53:N54)</f>
        <v>2305.208333333333</v>
      </c>
      <c r="O55" s="676">
        <f t="shared" ca="1" si="6"/>
        <v>2404.505208333333</v>
      </c>
      <c r="P55" s="676">
        <f t="shared" ca="1" si="6"/>
        <v>2506.2845052083039</v>
      </c>
      <c r="Q55" s="676">
        <f t="shared" ca="1" si="6"/>
        <v>2610.6082845051906</v>
      </c>
      <c r="R55" s="669"/>
      <c r="AF55" s="692"/>
    </row>
    <row r="56" spans="11:32" ht="9.9499999999999993" customHeight="1" thickTop="1">
      <c r="K56" s="669"/>
      <c r="L56" s="670"/>
      <c r="M56" s="680"/>
      <c r="N56" s="680"/>
      <c r="O56" s="680"/>
      <c r="P56" s="680"/>
      <c r="Q56" s="680"/>
      <c r="R56" s="669"/>
      <c r="AF56" s="692"/>
    </row>
    <row r="57" spans="11:32">
      <c r="AF57" s="692"/>
    </row>
    <row r="58" spans="11:32" ht="9.9499999999999993" customHeight="1">
      <c r="R58" s="681"/>
      <c r="S58" s="681"/>
      <c r="T58" s="681"/>
      <c r="U58" s="681"/>
      <c r="V58" s="681"/>
      <c r="W58" s="681"/>
      <c r="X58" s="681"/>
      <c r="Y58" s="681"/>
      <c r="AF58" s="693"/>
    </row>
    <row r="59" spans="11:32" ht="9.9499999999999993" customHeight="1">
      <c r="R59" s="681"/>
      <c r="S59" s="682"/>
      <c r="T59" s="683" t="s">
        <v>20</v>
      </c>
      <c r="U59" s="683" t="s">
        <v>21</v>
      </c>
      <c r="V59" s="683" t="s">
        <v>22</v>
      </c>
      <c r="W59" s="683" t="s">
        <v>23</v>
      </c>
      <c r="X59" s="683" t="s">
        <v>24</v>
      </c>
      <c r="Y59" s="681"/>
      <c r="AF59" s="693"/>
    </row>
    <row r="60" spans="11:32" ht="9.9499999999999993" customHeight="1">
      <c r="R60" s="681"/>
      <c r="S60" s="682"/>
      <c r="T60" s="683" t="s">
        <v>25</v>
      </c>
      <c r="U60" s="683" t="s">
        <v>25</v>
      </c>
      <c r="V60" s="683" t="s">
        <v>25</v>
      </c>
      <c r="W60" s="683" t="s">
        <v>25</v>
      </c>
      <c r="X60" s="683" t="s">
        <v>25</v>
      </c>
      <c r="Y60" s="681"/>
      <c r="AF60" s="693"/>
    </row>
    <row r="61" spans="11:32" ht="9.9499999999999993" customHeight="1">
      <c r="R61" s="681"/>
      <c r="S61" s="684" t="s">
        <v>40</v>
      </c>
      <c r="T61" s="682"/>
      <c r="U61" s="682"/>
      <c r="V61" s="682"/>
      <c r="W61" s="682"/>
      <c r="X61" s="682"/>
      <c r="Y61" s="681"/>
      <c r="AF61" s="693"/>
    </row>
    <row r="62" spans="11:32" ht="9.9499999999999993" customHeight="1">
      <c r="R62" s="681"/>
      <c r="S62" s="685" t="s">
        <v>38</v>
      </c>
      <c r="T62" s="686">
        <f>'Cash Flow'!H5</f>
        <v>-1558.2335999999996</v>
      </c>
      <c r="U62" s="686">
        <f ca="1">'Cash Flow'!I5</f>
        <v>8396.0085912000031</v>
      </c>
      <c r="V62" s="686">
        <f ca="1">'Cash Flow'!J5</f>
        <v>8766.8150582136022</v>
      </c>
      <c r="W62" s="686">
        <f ca="1">'Cash Flow'!K5</f>
        <v>9156.5002134098831</v>
      </c>
      <c r="X62" s="686">
        <f ca="1">'Cash Flow'!L5</f>
        <v>9565.8488837789628</v>
      </c>
      <c r="Y62" s="681"/>
      <c r="AF62" s="693"/>
    </row>
    <row r="63" spans="11:32" ht="9.9499999999999993" customHeight="1">
      <c r="R63" s="681"/>
      <c r="S63" s="687" t="s">
        <v>41</v>
      </c>
      <c r="T63" s="686"/>
      <c r="U63" s="686"/>
      <c r="V63" s="686"/>
      <c r="W63" s="686"/>
      <c r="X63" s="686"/>
      <c r="Y63" s="681"/>
      <c r="AF63" s="693"/>
    </row>
    <row r="64" spans="11:32" ht="9.9499999999999993" customHeight="1">
      <c r="R64" s="681"/>
      <c r="S64" s="685" t="s">
        <v>44</v>
      </c>
      <c r="T64" s="686">
        <f>'Cash Flow'!H8</f>
        <v>0</v>
      </c>
      <c r="U64" s="686">
        <f>'Cash Flow'!I8</f>
        <v>5203.5</v>
      </c>
      <c r="V64" s="686">
        <f>'Cash Flow'!J8</f>
        <v>5203.5</v>
      </c>
      <c r="W64" s="686">
        <f>'Cash Flow'!K8</f>
        <v>5203.5</v>
      </c>
      <c r="X64" s="686">
        <f>'Cash Flow'!L8</f>
        <v>5203.5</v>
      </c>
      <c r="Y64" s="681"/>
      <c r="AF64" s="693"/>
    </row>
    <row r="65" spans="18:32" ht="9.9499999999999993" customHeight="1">
      <c r="R65" s="681"/>
      <c r="S65" s="687" t="s">
        <v>48</v>
      </c>
      <c r="T65" s="686"/>
      <c r="U65" s="686"/>
      <c r="V65" s="686"/>
      <c r="W65" s="686"/>
      <c r="X65" s="686"/>
      <c r="Y65" s="681"/>
      <c r="AF65" s="693"/>
    </row>
    <row r="66" spans="18:32" ht="9.9499999999999993" customHeight="1">
      <c r="R66" s="681"/>
      <c r="S66" s="685" t="s">
        <v>50</v>
      </c>
      <c r="T66" s="686">
        <f>'Cash Flow'!H14</f>
        <v>0</v>
      </c>
      <c r="U66" s="686">
        <f>'Cash Flow'!I14</f>
        <v>-5203.5</v>
      </c>
      <c r="V66" s="686">
        <f>'Cash Flow'!J14</f>
        <v>-5203.5</v>
      </c>
      <c r="W66" s="686">
        <f>'Cash Flow'!K14</f>
        <v>-5203.5</v>
      </c>
      <c r="X66" s="686">
        <f>'Cash Flow'!L14</f>
        <v>-5203.5</v>
      </c>
      <c r="Y66" s="681"/>
      <c r="AF66" s="693"/>
    </row>
    <row r="67" spans="18:32" ht="9.9499999999999993" customHeight="1">
      <c r="R67" s="681"/>
      <c r="S67" s="684" t="s">
        <v>62</v>
      </c>
      <c r="T67" s="688">
        <f>SUM(T62:T66)</f>
        <v>-1558.2335999999996</v>
      </c>
      <c r="U67" s="688">
        <f t="shared" ref="U67:X67" ca="1" si="7">SUM(U62:U66)</f>
        <v>8396.0085912000031</v>
      </c>
      <c r="V67" s="688">
        <f t="shared" ca="1" si="7"/>
        <v>8766.8150582136022</v>
      </c>
      <c r="W67" s="688">
        <f t="shared" ca="1" si="7"/>
        <v>9156.5002134098831</v>
      </c>
      <c r="X67" s="688">
        <f t="shared" ca="1" si="7"/>
        <v>9565.8488837789628</v>
      </c>
      <c r="Y67" s="681"/>
      <c r="AF67" s="693"/>
    </row>
    <row r="68" spans="18:32" ht="9.9499999999999993" customHeight="1">
      <c r="R68" s="681"/>
      <c r="S68" s="682"/>
      <c r="T68" s="686"/>
      <c r="U68" s="686"/>
      <c r="V68" s="686"/>
      <c r="W68" s="686"/>
      <c r="X68" s="686"/>
      <c r="Y68" s="681"/>
      <c r="AF68" s="693"/>
    </row>
    <row r="69" spans="18:32" ht="9.9499999999999993" customHeight="1">
      <c r="R69" s="681"/>
      <c r="S69" s="684" t="s">
        <v>63</v>
      </c>
      <c r="T69" s="686"/>
      <c r="U69" s="686"/>
      <c r="V69" s="686"/>
      <c r="W69" s="686"/>
      <c r="X69" s="686"/>
      <c r="Y69" s="681"/>
      <c r="AF69" s="693"/>
    </row>
    <row r="70" spans="18:32" ht="9.9499999999999993" customHeight="1">
      <c r="R70" s="681"/>
      <c r="S70" s="685" t="s">
        <v>64</v>
      </c>
      <c r="T70" s="686">
        <f ca="1">'Cash Flow'!H29</f>
        <v>-155000</v>
      </c>
      <c r="U70" s="686">
        <f>'Cash Flow'!I29</f>
        <v>0</v>
      </c>
      <c r="V70" s="686">
        <f>'Cash Flow'!J29</f>
        <v>0</v>
      </c>
      <c r="W70" s="686">
        <f>'Cash Flow'!K29</f>
        <v>0</v>
      </c>
      <c r="X70" s="686">
        <f>'Cash Flow'!L29</f>
        <v>0</v>
      </c>
      <c r="Y70" s="681"/>
      <c r="AF70" s="693"/>
    </row>
    <row r="71" spans="18:32" ht="9.9499999999999993" customHeight="1">
      <c r="R71" s="681"/>
      <c r="S71" s="685" t="s">
        <v>132</v>
      </c>
      <c r="T71" s="686">
        <f>'Cash Flow'!H31</f>
        <v>-9000</v>
      </c>
      <c r="U71" s="686">
        <f>'Cash Flow'!I31</f>
        <v>0</v>
      </c>
      <c r="V71" s="686">
        <f>'Cash Flow'!J31</f>
        <v>0</v>
      </c>
      <c r="W71" s="686">
        <f>'Cash Flow'!K31</f>
        <v>0</v>
      </c>
      <c r="X71" s="686">
        <f>'Cash Flow'!L31</f>
        <v>0</v>
      </c>
      <c r="Y71" s="681"/>
      <c r="AF71" s="693"/>
    </row>
    <row r="72" spans="18:32" ht="9.9499999999999993" customHeight="1">
      <c r="R72" s="681"/>
      <c r="S72" s="684" t="s">
        <v>66</v>
      </c>
      <c r="T72" s="688">
        <f ca="1">SUM(T70:T71)</f>
        <v>-164000</v>
      </c>
      <c r="U72" s="688">
        <f t="shared" ref="U72:X72" si="8">SUM(U70:U71)</f>
        <v>0</v>
      </c>
      <c r="V72" s="688">
        <f t="shared" si="8"/>
        <v>0</v>
      </c>
      <c r="W72" s="688">
        <f t="shared" si="8"/>
        <v>0</v>
      </c>
      <c r="X72" s="688">
        <f t="shared" si="8"/>
        <v>0</v>
      </c>
      <c r="Y72" s="681"/>
      <c r="AF72" s="693"/>
    </row>
    <row r="73" spans="18:32" ht="9.9499999999999993" customHeight="1">
      <c r="R73" s="681"/>
      <c r="S73" s="682"/>
      <c r="T73" s="686"/>
      <c r="U73" s="686"/>
      <c r="V73" s="686"/>
      <c r="W73" s="686"/>
      <c r="X73" s="686"/>
      <c r="Y73" s="681"/>
      <c r="AF73" s="693"/>
    </row>
    <row r="74" spans="18:32" ht="9.9499999999999993" customHeight="1">
      <c r="R74" s="681"/>
      <c r="S74" s="684" t="s">
        <v>67</v>
      </c>
      <c r="T74" s="686"/>
      <c r="U74" s="686"/>
      <c r="V74" s="686"/>
      <c r="W74" s="686"/>
      <c r="X74" s="686"/>
      <c r="Y74" s="681"/>
      <c r="AF74" s="693"/>
    </row>
    <row r="75" spans="18:32" ht="9.9499999999999993" customHeight="1">
      <c r="R75" s="681"/>
      <c r="S75" s="685" t="s">
        <v>364</v>
      </c>
      <c r="T75" s="686">
        <f>'Cash Flow'!H35</f>
        <v>493.63600000000008</v>
      </c>
      <c r="U75" s="686">
        <f>'Cash Flow'!I35</f>
        <v>507.45780800000011</v>
      </c>
      <c r="V75" s="686">
        <f>'Cash Flow'!J35</f>
        <v>521.66662662400017</v>
      </c>
      <c r="W75" s="686">
        <f>'Cash Flow'!K35</f>
        <v>536.27329216947226</v>
      </c>
      <c r="X75" s="686">
        <f>'Cash Flow'!L35</f>
        <v>551.28894435021743</v>
      </c>
      <c r="Y75" s="681"/>
      <c r="AF75" s="693"/>
    </row>
    <row r="76" spans="18:32" ht="9.9499999999999993" customHeight="1">
      <c r="R76" s="681"/>
      <c r="S76" s="685" t="s">
        <v>365</v>
      </c>
      <c r="T76" s="686">
        <f>'Cash Flow'!H36</f>
        <v>987.27200000000016</v>
      </c>
      <c r="U76" s="686">
        <f>'Cash Flow'!I36</f>
        <v>1014.9156160000002</v>
      </c>
      <c r="V76" s="686">
        <f>'Cash Flow'!J36</f>
        <v>1043.3332532480003</v>
      </c>
      <c r="W76" s="686">
        <f>'Cash Flow'!K36</f>
        <v>1072.5465843389445</v>
      </c>
      <c r="X76" s="686">
        <f>'Cash Flow'!L36</f>
        <v>1102.5778887004349</v>
      </c>
      <c r="Y76" s="681"/>
      <c r="AF76" s="693"/>
    </row>
    <row r="77" spans="18:32" ht="9.9499999999999993" customHeight="1">
      <c r="R77" s="681"/>
      <c r="S77" s="685" t="s">
        <v>70</v>
      </c>
      <c r="T77" s="686">
        <f>'Cash Flow'!H39</f>
        <v>173450</v>
      </c>
      <c r="U77" s="686">
        <f>'Cash Flow'!I39</f>
        <v>0</v>
      </c>
      <c r="V77" s="686">
        <f>'Cash Flow'!J39</f>
        <v>0</v>
      </c>
      <c r="W77" s="686">
        <f>'Cash Flow'!K39</f>
        <v>0</v>
      </c>
      <c r="X77" s="686">
        <f>'Cash Flow'!L39</f>
        <v>0</v>
      </c>
      <c r="Y77" s="681"/>
      <c r="AF77" s="693"/>
    </row>
    <row r="78" spans="18:32" ht="9.9499999999999993" customHeight="1">
      <c r="R78" s="681"/>
      <c r="S78" s="684" t="s">
        <v>73</v>
      </c>
      <c r="T78" s="688">
        <f>SUM(T75:T77)</f>
        <v>174930.908</v>
      </c>
      <c r="U78" s="688">
        <f t="shared" ref="U78:X78" si="9">SUM(U75:U77)</f>
        <v>1522.3734240000003</v>
      </c>
      <c r="V78" s="688">
        <f t="shared" si="9"/>
        <v>1564.9998798720005</v>
      </c>
      <c r="W78" s="688">
        <f t="shared" si="9"/>
        <v>1608.8198765084167</v>
      </c>
      <c r="X78" s="688">
        <f t="shared" si="9"/>
        <v>1653.8668330506523</v>
      </c>
      <c r="Y78" s="681"/>
      <c r="AF78" s="693"/>
    </row>
    <row r="79" spans="18:32" ht="9.9499999999999993" customHeight="1">
      <c r="R79" s="681"/>
      <c r="S79" s="684"/>
      <c r="T79" s="689"/>
      <c r="U79" s="689"/>
      <c r="V79" s="689"/>
      <c r="W79" s="689"/>
      <c r="X79" s="689"/>
      <c r="Y79" s="681"/>
      <c r="AF79" s="693"/>
    </row>
    <row r="80" spans="18:32" ht="9.9499999999999993" customHeight="1">
      <c r="R80" s="681"/>
      <c r="S80" s="684"/>
      <c r="T80" s="689"/>
      <c r="U80" s="689"/>
      <c r="V80" s="689"/>
      <c r="W80" s="689"/>
      <c r="X80" s="689"/>
      <c r="Y80" s="681"/>
      <c r="AF80" s="693"/>
    </row>
    <row r="81" spans="18:32" ht="9.9499999999999993" customHeight="1">
      <c r="R81" s="681"/>
      <c r="S81" s="682"/>
      <c r="T81" s="686"/>
      <c r="U81" s="686"/>
      <c r="V81" s="686"/>
      <c r="W81" s="686"/>
      <c r="X81" s="686"/>
      <c r="Y81" s="681"/>
      <c r="AF81" s="693"/>
    </row>
    <row r="82" spans="18:32" ht="9.9499999999999993" customHeight="1">
      <c r="R82" s="681"/>
      <c r="S82" s="684" t="s">
        <v>74</v>
      </c>
      <c r="T82" s="690">
        <f ca="1">T67+T72+T78</f>
        <v>9372.674399999989</v>
      </c>
      <c r="U82" s="690">
        <f t="shared" ref="U82:X82" ca="1" si="10">U67+U72+U78</f>
        <v>9918.3820152000044</v>
      </c>
      <c r="V82" s="690">
        <f t="shared" ca="1" si="10"/>
        <v>10331.814938085603</v>
      </c>
      <c r="W82" s="690">
        <f t="shared" ca="1" si="10"/>
        <v>10765.320089918299</v>
      </c>
      <c r="X82" s="690">
        <f t="shared" ca="1" si="10"/>
        <v>11219.715716829614</v>
      </c>
      <c r="Y82" s="681"/>
      <c r="AF82" s="693"/>
    </row>
    <row r="83" spans="18:32" ht="9.9499999999999993" customHeight="1">
      <c r="R83" s="681"/>
      <c r="S83" s="687" t="s">
        <v>75</v>
      </c>
      <c r="T83" s="690">
        <v>0</v>
      </c>
      <c r="U83" s="690">
        <f t="shared" ref="U83:X83" ca="1" si="11">T84</f>
        <v>9372.674399999989</v>
      </c>
      <c r="V83" s="690">
        <f t="shared" ca="1" si="11"/>
        <v>19291.056415199993</v>
      </c>
      <c r="W83" s="690">
        <f t="shared" ca="1" si="11"/>
        <v>29622.871353285598</v>
      </c>
      <c r="X83" s="690">
        <f t="shared" ca="1" si="11"/>
        <v>40388.191443203898</v>
      </c>
      <c r="Y83" s="681"/>
      <c r="AF83" s="693"/>
    </row>
    <row r="84" spans="18:32" ht="9.9499999999999993" customHeight="1" thickBot="1">
      <c r="R84" s="681"/>
      <c r="S84" s="687" t="s">
        <v>76</v>
      </c>
      <c r="T84" s="686">
        <f ca="1">SUM(T82:T83)</f>
        <v>9372.674399999989</v>
      </c>
      <c r="U84" s="686">
        <f t="shared" ref="U84:X84" ca="1" si="12">SUM(U82:U83)</f>
        <v>19291.056415199993</v>
      </c>
      <c r="V84" s="686">
        <f t="shared" ca="1" si="12"/>
        <v>29622.871353285598</v>
      </c>
      <c r="W84" s="686">
        <f t="shared" ca="1" si="12"/>
        <v>40388.191443203898</v>
      </c>
      <c r="X84" s="686">
        <f t="shared" ca="1" si="12"/>
        <v>51607.907160033516</v>
      </c>
      <c r="Y84" s="681"/>
      <c r="AF84" s="693"/>
    </row>
    <row r="85" spans="18:32" ht="9.9499999999999993" customHeight="1" thickTop="1">
      <c r="R85" s="681"/>
      <c r="S85" s="681"/>
      <c r="T85" s="691"/>
      <c r="U85" s="691"/>
      <c r="V85" s="691"/>
      <c r="W85" s="691"/>
      <c r="X85" s="691"/>
      <c r="Y85" s="681"/>
      <c r="AF85" s="693"/>
    </row>
    <row r="87" spans="18:32" ht="9.9499999999999993" customHeight="1">
      <c r="Y87" s="694"/>
      <c r="Z87" s="694"/>
      <c r="AA87" s="694"/>
      <c r="AB87" s="694"/>
      <c r="AC87" s="694"/>
      <c r="AD87" s="694"/>
      <c r="AE87" s="694"/>
      <c r="AF87" s="694"/>
    </row>
    <row r="88" spans="18:32" ht="9.9499999999999993" customHeight="1">
      <c r="Y88" s="694"/>
      <c r="Z88" s="695"/>
      <c r="AA88" s="696" t="s">
        <v>20</v>
      </c>
      <c r="AB88" s="696" t="s">
        <v>21</v>
      </c>
      <c r="AC88" s="696" t="s">
        <v>22</v>
      </c>
      <c r="AD88" s="696" t="s">
        <v>23</v>
      </c>
      <c r="AE88" s="696" t="s">
        <v>24</v>
      </c>
      <c r="AF88" s="694"/>
    </row>
    <row r="89" spans="18:32" ht="9.9499999999999993" customHeight="1">
      <c r="Y89" s="694"/>
      <c r="Z89" s="695"/>
      <c r="AA89" s="696" t="s">
        <v>25</v>
      </c>
      <c r="AB89" s="696" t="s">
        <v>25</v>
      </c>
      <c r="AC89" s="696" t="s">
        <v>25</v>
      </c>
      <c r="AD89" s="696" t="s">
        <v>25</v>
      </c>
      <c r="AE89" s="696" t="s">
        <v>25</v>
      </c>
      <c r="AF89" s="694"/>
    </row>
    <row r="90" spans="18:32" ht="9.9499999999999993" customHeight="1">
      <c r="Y90" s="694"/>
      <c r="Z90" s="697" t="s">
        <v>333</v>
      </c>
      <c r="AA90" s="698">
        <f>'Balance Sheet'!H4</f>
        <v>155000</v>
      </c>
      <c r="AB90" s="698">
        <f ca="1">'Balance Sheet'!I4</f>
        <v>157208.33333333334</v>
      </c>
      <c r="AC90" s="698">
        <f ca="1">'Balance Sheet'!J4</f>
        <v>159513.54166666669</v>
      </c>
      <c r="AD90" s="698">
        <f ca="1">'Balance Sheet'!K4</f>
        <v>161918.04687500003</v>
      </c>
      <c r="AE90" s="698">
        <f ca="1">'Balance Sheet'!L4</f>
        <v>164424.33138020834</v>
      </c>
      <c r="AF90" s="694"/>
    </row>
    <row r="91" spans="18:32" ht="9.9499999999999993" customHeight="1">
      <c r="Y91" s="694"/>
      <c r="Z91" s="699" t="s">
        <v>8</v>
      </c>
      <c r="AA91" s="700">
        <f ca="1">'Balance Sheet'!H5</f>
        <v>150000</v>
      </c>
      <c r="AB91" s="700">
        <f ca="1">'Balance Sheet'!I5</f>
        <v>148500</v>
      </c>
      <c r="AC91" s="700">
        <f ca="1">'Balance Sheet'!J5</f>
        <v>147000</v>
      </c>
      <c r="AD91" s="700">
        <f ca="1">'Balance Sheet'!K5</f>
        <v>145500</v>
      </c>
      <c r="AE91" s="700">
        <f ca="1">'Balance Sheet'!L5</f>
        <v>144000</v>
      </c>
      <c r="AF91" s="694"/>
    </row>
    <row r="92" spans="18:32" ht="9.9499999999999993" customHeight="1">
      <c r="Y92" s="694"/>
      <c r="Z92" s="701" t="s">
        <v>334</v>
      </c>
      <c r="AA92" s="702">
        <f ca="1">'Balance Sheet'!H6</f>
        <v>-1500</v>
      </c>
      <c r="AB92" s="702">
        <f ca="1">'Balance Sheet'!I6</f>
        <v>-1500</v>
      </c>
      <c r="AC92" s="702">
        <f ca="1">'Balance Sheet'!J6</f>
        <v>-1500</v>
      </c>
      <c r="AD92" s="702">
        <f ca="1">'Balance Sheet'!K6</f>
        <v>-1500</v>
      </c>
      <c r="AE92" s="702">
        <f ca="1">'Balance Sheet'!L6</f>
        <v>-1500</v>
      </c>
      <c r="AF92" s="694"/>
    </row>
    <row r="93" spans="18:32" ht="9.9499999999999993" customHeight="1">
      <c r="Y93" s="694"/>
      <c r="Z93" s="699" t="s">
        <v>335</v>
      </c>
      <c r="AA93" s="703">
        <f ca="1">'Balance Sheet'!H7</f>
        <v>148500</v>
      </c>
      <c r="AB93" s="703">
        <f ca="1">'Balance Sheet'!I7</f>
        <v>147000</v>
      </c>
      <c r="AC93" s="703">
        <f ca="1">'Balance Sheet'!J7</f>
        <v>145500</v>
      </c>
      <c r="AD93" s="703">
        <f ca="1">'Balance Sheet'!K7</f>
        <v>144000</v>
      </c>
      <c r="AE93" s="703">
        <f ca="1">'Balance Sheet'!L7</f>
        <v>142500</v>
      </c>
      <c r="AF93" s="694"/>
    </row>
    <row r="94" spans="18:32" ht="9.9499999999999993" customHeight="1">
      <c r="Y94" s="694"/>
      <c r="Z94" s="699" t="s">
        <v>10</v>
      </c>
      <c r="AA94" s="704">
        <f>'Balance Sheet'!H8</f>
        <v>5000</v>
      </c>
      <c r="AB94" s="704">
        <f ca="1">'Balance Sheet'!I8</f>
        <v>4833.333333333333</v>
      </c>
      <c r="AC94" s="704">
        <f ca="1">'Balance Sheet'!J8</f>
        <v>4666.6666666666661</v>
      </c>
      <c r="AD94" s="704">
        <f ca="1">'Balance Sheet'!K8</f>
        <v>4499.9999999999991</v>
      </c>
      <c r="AE94" s="704">
        <f ca="1">'Balance Sheet'!L8</f>
        <v>4333.3333333333321</v>
      </c>
      <c r="AF94" s="694"/>
    </row>
    <row r="95" spans="18:32" ht="9.9499999999999993" customHeight="1">
      <c r="Y95" s="694"/>
      <c r="Z95" s="701" t="s">
        <v>336</v>
      </c>
      <c r="AA95" s="702">
        <f ca="1">'Balance Sheet'!H9</f>
        <v>-166.66666666666666</v>
      </c>
      <c r="AB95" s="702">
        <f ca="1">'Balance Sheet'!I9</f>
        <v>-166.66666666666666</v>
      </c>
      <c r="AC95" s="702">
        <f ca="1">'Balance Sheet'!J9</f>
        <v>-166.66666666666666</v>
      </c>
      <c r="AD95" s="702">
        <f ca="1">'Balance Sheet'!K9</f>
        <v>-166.66666666666666</v>
      </c>
      <c r="AE95" s="702">
        <f ca="1">'Balance Sheet'!L9</f>
        <v>-166.66666666666666</v>
      </c>
      <c r="AF95" s="694"/>
    </row>
    <row r="96" spans="18:32" ht="9.9499999999999993" customHeight="1">
      <c r="Y96" s="694"/>
      <c r="Z96" s="699" t="s">
        <v>337</v>
      </c>
      <c r="AA96" s="703">
        <f ca="1">'Balance Sheet'!H10</f>
        <v>4833.333333333333</v>
      </c>
      <c r="AB96" s="703">
        <f ca="1">'Balance Sheet'!I10</f>
        <v>4666.6666666666661</v>
      </c>
      <c r="AC96" s="703">
        <f ca="1">'Balance Sheet'!J10</f>
        <v>4499.9999999999991</v>
      </c>
      <c r="AD96" s="703">
        <f ca="1">'Balance Sheet'!K10</f>
        <v>4333.3333333333321</v>
      </c>
      <c r="AE96" s="703">
        <f ca="1">'Balance Sheet'!L10</f>
        <v>4166.6666666666652</v>
      </c>
      <c r="AF96" s="694"/>
    </row>
    <row r="97" spans="25:32" ht="9.9499999999999993" customHeight="1">
      <c r="Y97" s="694"/>
      <c r="Z97" s="701" t="s">
        <v>254</v>
      </c>
      <c r="AA97" s="705">
        <f>'Balance Sheet'!H15</f>
        <v>3875</v>
      </c>
      <c r="AB97" s="705">
        <f>'Balance Sheet'!I15</f>
        <v>3971.875</v>
      </c>
      <c r="AC97" s="705">
        <f>'Balance Sheet'!J15</f>
        <v>4071.171875</v>
      </c>
      <c r="AD97" s="705">
        <f>'Balance Sheet'!K15</f>
        <v>4172.9511718749709</v>
      </c>
      <c r="AE97" s="705">
        <f>'Balance Sheet'!L15</f>
        <v>4277.2749511718575</v>
      </c>
      <c r="AF97" s="694"/>
    </row>
    <row r="98" spans="25:32" ht="9.9499999999999993" customHeight="1">
      <c r="Y98" s="694"/>
      <c r="Z98" s="706" t="s">
        <v>338</v>
      </c>
      <c r="AA98" s="707">
        <f ca="1">'Balance Sheet'!H16</f>
        <v>2208.333333333333</v>
      </c>
      <c r="AB98" s="707">
        <f ca="1">'Balance Sheet'!I16</f>
        <v>2305.208333333333</v>
      </c>
      <c r="AC98" s="707">
        <f ca="1">'Balance Sheet'!J16</f>
        <v>2404.505208333333</v>
      </c>
      <c r="AD98" s="707">
        <f ca="1">'Balance Sheet'!K16</f>
        <v>2506.2845052083039</v>
      </c>
      <c r="AE98" s="707">
        <f ca="1">'Balance Sheet'!L16</f>
        <v>2610.6082845051906</v>
      </c>
      <c r="AF98" s="694"/>
    </row>
    <row r="99" spans="25:32" ht="9.9499999999999993" customHeight="1">
      <c r="Y99" s="694"/>
      <c r="Z99" s="697" t="s">
        <v>339</v>
      </c>
      <c r="AA99" s="708">
        <f ca="1">'Balance Sheet'!H17</f>
        <v>157208.33333333334</v>
      </c>
      <c r="AB99" s="708">
        <f ca="1">'Balance Sheet'!I17</f>
        <v>159513.54166666669</v>
      </c>
      <c r="AC99" s="708">
        <f ca="1">'Balance Sheet'!J17</f>
        <v>161918.04687500003</v>
      </c>
      <c r="AD99" s="708">
        <f ca="1">'Balance Sheet'!K17</f>
        <v>164424.33138020834</v>
      </c>
      <c r="AE99" s="708">
        <f ca="1">'Balance Sheet'!L17</f>
        <v>167034.93966471354</v>
      </c>
      <c r="AF99" s="694"/>
    </row>
    <row r="100" spans="25:32" ht="9.9499999999999993" customHeight="1">
      <c r="Y100" s="694"/>
      <c r="Z100" s="695"/>
      <c r="AA100" s="709"/>
      <c r="AB100" s="709"/>
      <c r="AC100" s="709"/>
      <c r="AD100" s="709"/>
      <c r="AE100" s="709"/>
      <c r="AF100" s="694"/>
    </row>
    <row r="101" spans="25:32" ht="9.9499999999999993" customHeight="1">
      <c r="Y101" s="694"/>
      <c r="Z101" s="710" t="s">
        <v>78</v>
      </c>
      <c r="AA101" s="709"/>
      <c r="AB101" s="709"/>
      <c r="AC101" s="709"/>
      <c r="AD101" s="709"/>
      <c r="AE101" s="709"/>
      <c r="AF101" s="694"/>
    </row>
    <row r="102" spans="25:32" ht="9.9499999999999993" customHeight="1">
      <c r="Y102" s="694"/>
      <c r="Z102" s="711" t="s">
        <v>79</v>
      </c>
      <c r="AA102" s="709">
        <f ca="1">'Balance Sheet'!H20</f>
        <v>9372.6744000000017</v>
      </c>
      <c r="AB102" s="709">
        <f ca="1">'Balance Sheet'!I20</f>
        <v>14087.556415200002</v>
      </c>
      <c r="AC102" s="709">
        <f ca="1">'Balance Sheet'!J20</f>
        <v>19215.871353285609</v>
      </c>
      <c r="AD102" s="709">
        <f ca="1">'Balance Sheet'!K20</f>
        <v>24777.691443203908</v>
      </c>
      <c r="AE102" s="709">
        <f ca="1">'Balance Sheet'!L20</f>
        <v>30759.782055512387</v>
      </c>
      <c r="AF102" s="694"/>
    </row>
    <row r="103" spans="25:32" ht="9.9499999999999993" customHeight="1">
      <c r="Y103" s="694"/>
      <c r="Z103" s="710" t="s">
        <v>84</v>
      </c>
      <c r="AA103" s="712">
        <f ca="1">'Balance Sheet'!H25</f>
        <v>9372.6744000000017</v>
      </c>
      <c r="AB103" s="712">
        <f ca="1">'Balance Sheet'!I25</f>
        <v>14087.556415200002</v>
      </c>
      <c r="AC103" s="712">
        <f ca="1">'Balance Sheet'!J25</f>
        <v>19215.871353285609</v>
      </c>
      <c r="AD103" s="712">
        <f ca="1">'Balance Sheet'!K25</f>
        <v>24777.691443203908</v>
      </c>
      <c r="AE103" s="712">
        <f ca="1">'Balance Sheet'!L25</f>
        <v>30759.782055512387</v>
      </c>
      <c r="AF103" s="694"/>
    </row>
    <row r="104" spans="25:32" ht="9.9499999999999993" customHeight="1">
      <c r="Y104" s="694"/>
      <c r="Z104" s="695"/>
      <c r="AA104" s="709"/>
      <c r="AB104" s="709"/>
      <c r="AC104" s="709"/>
      <c r="AD104" s="709"/>
      <c r="AE104" s="709"/>
      <c r="AF104" s="694"/>
    </row>
    <row r="105" spans="25:32" ht="9.9499999999999993" customHeight="1">
      <c r="Y105" s="694"/>
      <c r="Z105" s="710" t="s">
        <v>85</v>
      </c>
      <c r="AA105" s="709"/>
      <c r="AB105" s="709"/>
      <c r="AC105" s="709"/>
      <c r="AD105" s="709"/>
      <c r="AE105" s="709"/>
      <c r="AF105" s="694"/>
    </row>
    <row r="106" spans="25:32" ht="9.9499999999999993" customHeight="1">
      <c r="Y106" s="694"/>
      <c r="Z106" s="713" t="s">
        <v>89</v>
      </c>
      <c r="AA106" s="709">
        <f>'Balance Sheet'!H31</f>
        <v>-5203.5</v>
      </c>
      <c r="AB106" s="709">
        <f>'Balance Sheet'!I31</f>
        <v>-5203.5</v>
      </c>
      <c r="AC106" s="709">
        <f>'Balance Sheet'!J31</f>
        <v>-5203.5</v>
      </c>
      <c r="AD106" s="709">
        <f>'Balance Sheet'!K31</f>
        <v>-5203.5</v>
      </c>
      <c r="AE106" s="709">
        <f>'Balance Sheet'!L31</f>
        <v>-5203.5</v>
      </c>
      <c r="AF106" s="694"/>
    </row>
    <row r="107" spans="25:32" ht="9.9499999999999993" customHeight="1">
      <c r="Y107" s="694"/>
      <c r="Z107" s="710" t="s">
        <v>95</v>
      </c>
      <c r="AA107" s="714">
        <f ca="1">'Balance Sheet'!H37</f>
        <v>-5203.5</v>
      </c>
      <c r="AB107" s="714">
        <f ca="1">'Balance Sheet'!I37</f>
        <v>-5203.5</v>
      </c>
      <c r="AC107" s="714">
        <f ca="1">'Balance Sheet'!J37</f>
        <v>-5203.5</v>
      </c>
      <c r="AD107" s="714">
        <f ca="1">'Balance Sheet'!K37</f>
        <v>-5203.5</v>
      </c>
      <c r="AE107" s="714">
        <f ca="1">'Balance Sheet'!L37</f>
        <v>-5237.625104521132</v>
      </c>
      <c r="AF107" s="694"/>
    </row>
    <row r="108" spans="25:32" ht="9.9499999999999993" customHeight="1">
      <c r="Y108" s="694"/>
      <c r="Z108" s="695"/>
      <c r="AA108" s="709"/>
      <c r="AB108" s="709"/>
      <c r="AC108" s="709"/>
      <c r="AD108" s="709"/>
      <c r="AE108" s="709"/>
      <c r="AF108" s="694"/>
    </row>
    <row r="109" spans="25:32" ht="9.9499999999999993" customHeight="1">
      <c r="Y109" s="694"/>
      <c r="Z109" s="710" t="s">
        <v>96</v>
      </c>
      <c r="AA109" s="714">
        <f ca="1">'Balance Sheet'!H39</f>
        <v>4169.1744000000017</v>
      </c>
      <c r="AB109" s="714">
        <f ca="1">'Balance Sheet'!I39</f>
        <v>8884.0564152000024</v>
      </c>
      <c r="AC109" s="714">
        <f ca="1">'Balance Sheet'!J39</f>
        <v>14012.371353285609</v>
      </c>
      <c r="AD109" s="714">
        <f ca="1">'Balance Sheet'!K39</f>
        <v>19574.191443203908</v>
      </c>
      <c r="AE109" s="714">
        <f ca="1">'Balance Sheet'!L39</f>
        <v>25522.156950991255</v>
      </c>
      <c r="AF109" s="694"/>
    </row>
    <row r="110" spans="25:32" ht="9.9499999999999993" customHeight="1">
      <c r="Y110" s="694"/>
      <c r="Z110" s="695"/>
      <c r="AA110" s="709"/>
      <c r="AB110" s="709"/>
      <c r="AC110" s="709"/>
      <c r="AD110" s="709"/>
      <c r="AE110" s="709"/>
      <c r="AF110" s="694"/>
    </row>
    <row r="111" spans="25:32" ht="9.9499999999999993" customHeight="1">
      <c r="Y111" s="694"/>
      <c r="Z111" s="695"/>
      <c r="AA111" s="709"/>
      <c r="AB111" s="709"/>
      <c r="AC111" s="709"/>
      <c r="AD111" s="709"/>
      <c r="AE111" s="709"/>
      <c r="AF111" s="694"/>
    </row>
    <row r="112" spans="25:32" ht="9.9499999999999993" customHeight="1" thickBot="1">
      <c r="Y112" s="694"/>
      <c r="Z112" s="710" t="s">
        <v>101</v>
      </c>
      <c r="AA112" s="714">
        <f ca="1">'Balance Sheet'!H46</f>
        <v>161377.50773333336</v>
      </c>
      <c r="AB112" s="714">
        <f ca="1">'Balance Sheet'!I46</f>
        <v>168397.59808186669</v>
      </c>
      <c r="AC112" s="714">
        <f ca="1">'Balance Sheet'!J46</f>
        <v>175930.41822828565</v>
      </c>
      <c r="AD112" s="714">
        <f ca="1">'Balance Sheet'!K46</f>
        <v>183998.52282341226</v>
      </c>
      <c r="AE112" s="714">
        <f ca="1">'Balance Sheet'!L46</f>
        <v>192557.0966157048</v>
      </c>
      <c r="AF112" s="694"/>
    </row>
    <row r="113" spans="25:32" ht="9.9499999999999993" customHeight="1" thickTop="1">
      <c r="Y113" s="694"/>
      <c r="Z113" s="713" t="s">
        <v>102</v>
      </c>
      <c r="AA113" s="715"/>
      <c r="AB113" s="715"/>
      <c r="AC113" s="715"/>
      <c r="AD113" s="715"/>
      <c r="AE113" s="715"/>
      <c r="AF113" s="694"/>
    </row>
    <row r="114" spans="25:32" ht="9.9499999999999993" customHeight="1">
      <c r="Y114" s="694"/>
      <c r="Z114" s="713" t="s">
        <v>103</v>
      </c>
      <c r="AA114" s="709">
        <f ca="1">'Balance Sheet'!H48</f>
        <v>-1558.2335999999996</v>
      </c>
      <c r="AB114" s="709">
        <f ca="1">'Balance Sheet'!I48</f>
        <v>1634.2749912000036</v>
      </c>
      <c r="AC114" s="709">
        <f ca="1">'Balance Sheet'!J48</f>
        <v>5197.5900494136058</v>
      </c>
      <c r="AD114" s="709">
        <f ca="1">'Balance Sheet'!K48</f>
        <v>9150.590262823489</v>
      </c>
      <c r="AE114" s="709">
        <f ca="1">'Balance Sheet'!L48</f>
        <v>13478.81404208132</v>
      </c>
      <c r="AF114" s="694"/>
    </row>
    <row r="115" spans="25:32" ht="9.9499999999999993" customHeight="1" thickBot="1">
      <c r="Y115" s="694"/>
      <c r="Z115" s="713" t="s">
        <v>32</v>
      </c>
      <c r="AA115" s="709">
        <f>'Balance Sheet'!H49</f>
        <v>173450</v>
      </c>
      <c r="AB115" s="709">
        <f>'Balance Sheet'!I49</f>
        <v>173450</v>
      </c>
      <c r="AC115" s="709">
        <f>'Balance Sheet'!J49</f>
        <v>173450</v>
      </c>
      <c r="AD115" s="709">
        <f>'Balance Sheet'!K49</f>
        <v>173450</v>
      </c>
      <c r="AE115" s="709">
        <f>'Balance Sheet'!L49</f>
        <v>173450</v>
      </c>
      <c r="AF115" s="694"/>
    </row>
    <row r="116" spans="25:32" ht="9.9499999999999993" customHeight="1" thickTop="1">
      <c r="Y116" s="694"/>
      <c r="Z116" s="694"/>
      <c r="AA116" s="716"/>
      <c r="AB116" s="716"/>
      <c r="AC116" s="716"/>
      <c r="AD116" s="716"/>
      <c r="AE116" s="716"/>
      <c r="AF116" s="69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workbookViewId="0">
      <selection activeCell="D23" sqref="D23"/>
    </sheetView>
  </sheetViews>
  <sheetFormatPr defaultColWidth="12.7109375" defaultRowHeight="15.75" customHeight="1"/>
  <cols>
    <col min="1" max="1" width="2.28515625" customWidth="1"/>
    <col min="2" max="2" width="22.140625" bestFit="1" customWidth="1"/>
    <col min="3" max="3" width="12.7109375" style="472"/>
    <col min="4" max="4" width="12.7109375" style="475"/>
  </cols>
  <sheetData>
    <row r="1" spans="1:6" ht="15.75" customHeight="1">
      <c r="A1" s="20"/>
      <c r="B1" s="20"/>
      <c r="C1" s="470" t="s">
        <v>104</v>
      </c>
      <c r="D1" s="473" t="s">
        <v>105</v>
      </c>
      <c r="E1" s="20" t="s">
        <v>106</v>
      </c>
      <c r="F1" s="21">
        <f>'Financial Model'!E23/52</f>
        <v>189.86</v>
      </c>
    </row>
    <row r="2" spans="1:6" ht="15.75" customHeight="1">
      <c r="A2" s="20"/>
      <c r="B2" s="20" t="s">
        <v>107</v>
      </c>
      <c r="C2" s="471"/>
      <c r="D2" s="474"/>
      <c r="E2" s="20"/>
      <c r="F2" s="20"/>
    </row>
    <row r="3" spans="1:6" ht="15.75" customHeight="1">
      <c r="A3" s="20"/>
      <c r="B3" s="20" t="s">
        <v>229</v>
      </c>
      <c r="C3" s="471">
        <f>'Financial Model'!I23/52</f>
        <v>24.681800000000006</v>
      </c>
      <c r="D3" s="474">
        <f>C3/$F$1</f>
        <v>0.13000000000000003</v>
      </c>
      <c r="E3" s="20"/>
      <c r="F3" s="20"/>
    </row>
    <row r="4" spans="1:6" ht="15.75" customHeight="1">
      <c r="A4" s="20"/>
      <c r="B4" s="20" t="s">
        <v>108</v>
      </c>
      <c r="C4" s="471"/>
      <c r="D4" s="474"/>
      <c r="E4" s="20"/>
      <c r="F4" s="20"/>
    </row>
    <row r="5" spans="1:6" ht="15.75" customHeight="1">
      <c r="A5" s="20"/>
      <c r="B5" s="20" t="s">
        <v>109</v>
      </c>
      <c r="C5" s="471"/>
      <c r="D5" s="474"/>
      <c r="E5" s="20"/>
      <c r="F5" s="20"/>
    </row>
    <row r="6" spans="1:6" ht="15.75" customHeight="1">
      <c r="A6" s="20"/>
      <c r="B6" s="20" t="s">
        <v>110</v>
      </c>
      <c r="C6" s="471">
        <f>'Financial Model'!$E$23*'Financial Model'!$D$10/52</f>
        <v>18.986000000000004</v>
      </c>
      <c r="D6" s="474">
        <f>C6/$F$1</f>
        <v>0.10000000000000002</v>
      </c>
      <c r="E6" s="20"/>
      <c r="F6" s="20"/>
    </row>
    <row r="7" spans="1:6" ht="15.75" customHeight="1">
      <c r="A7" s="20"/>
      <c r="B7" s="20" t="s">
        <v>111</v>
      </c>
      <c r="C7" s="471">
        <f>'Financial Model'!$H$23/52</f>
        <v>5.9615384615384617</v>
      </c>
      <c r="D7" s="474">
        <f>C7/$F$1</f>
        <v>3.1399654806375549E-2</v>
      </c>
      <c r="E7" s="20"/>
      <c r="F7" s="20"/>
    </row>
    <row r="8" spans="1:6" ht="15.75" customHeight="1">
      <c r="A8" s="20"/>
      <c r="B8" s="20" t="s">
        <v>112</v>
      </c>
      <c r="C8" s="471"/>
      <c r="D8" s="474"/>
      <c r="E8" s="20"/>
      <c r="F8" s="20"/>
    </row>
    <row r="9" spans="1:6" ht="15.75" customHeight="1">
      <c r="A9" s="20"/>
      <c r="B9" s="20" t="s">
        <v>113</v>
      </c>
      <c r="C9" s="471"/>
      <c r="D9" s="474"/>
      <c r="E9" s="20"/>
      <c r="F9" s="20"/>
    </row>
    <row r="10" spans="1:6" ht="15.75" customHeight="1">
      <c r="A10" s="20"/>
      <c r="B10" s="20" t="s">
        <v>114</v>
      </c>
      <c r="C10" s="471"/>
      <c r="D10" s="474"/>
      <c r="E10" s="20"/>
      <c r="F10" s="20"/>
    </row>
    <row r="11" spans="1:6" ht="15.75" customHeight="1">
      <c r="A11" s="20"/>
      <c r="B11" s="20" t="s">
        <v>115</v>
      </c>
      <c r="C11" s="471"/>
      <c r="D11" s="474"/>
      <c r="E11" s="20"/>
      <c r="F11" s="20"/>
    </row>
    <row r="12" spans="1:6" ht="15.75" customHeight="1">
      <c r="A12" s="20"/>
      <c r="B12" s="20" t="s">
        <v>116</v>
      </c>
      <c r="C12" s="471">
        <f>'Financial Model'!$L$23/52</f>
        <v>0</v>
      </c>
      <c r="D12" s="474">
        <f>C12/$F$1</f>
        <v>0</v>
      </c>
      <c r="E12" s="20"/>
      <c r="F12" s="20"/>
    </row>
    <row r="13" spans="1:6" ht="15.75" customHeight="1">
      <c r="A13" s="20"/>
      <c r="B13" s="20" t="s">
        <v>117</v>
      </c>
      <c r="C13" s="471"/>
      <c r="D13" s="474"/>
      <c r="E13" s="20"/>
      <c r="F13" s="20"/>
    </row>
    <row r="14" spans="1:6" ht="15.75" customHeight="1">
      <c r="A14" s="20"/>
      <c r="B14" s="20" t="s">
        <v>118</v>
      </c>
      <c r="C14" s="471"/>
      <c r="D14" s="474"/>
      <c r="E14" s="20"/>
      <c r="F14" s="20"/>
    </row>
    <row r="15" spans="1:6" ht="15.75" customHeight="1">
      <c r="A15" s="20"/>
      <c r="B15" s="476" t="s">
        <v>330</v>
      </c>
      <c r="C15" s="471">
        <f>'Financial Model'!B23*'Financial Model'!D16/'Financial Model'!F16/52</f>
        <v>44.71153846153846</v>
      </c>
      <c r="D15" s="474">
        <f>C15/$F$1</f>
        <v>0.23549741104781657</v>
      </c>
      <c r="E15" s="20"/>
      <c r="F15" s="20"/>
    </row>
    <row r="16" spans="1:6" ht="15.75" customHeight="1">
      <c r="A16" s="20"/>
      <c r="B16" s="20" t="s">
        <v>119</v>
      </c>
      <c r="C16" s="471"/>
      <c r="D16" s="474"/>
      <c r="E16" s="20"/>
      <c r="F16" s="20"/>
    </row>
    <row r="17" spans="1:6" ht="15.75" customHeight="1">
      <c r="A17" s="20"/>
      <c r="B17" s="20"/>
      <c r="C17" s="470"/>
      <c r="D17" s="473"/>
      <c r="E17" s="20"/>
      <c r="F17" s="20"/>
    </row>
    <row r="18" spans="1:6" ht="15.75" customHeight="1">
      <c r="A18" s="20"/>
      <c r="B18" s="20" t="s">
        <v>120</v>
      </c>
      <c r="C18" s="471">
        <f>C19-C2</f>
        <v>94.340876923076934</v>
      </c>
      <c r="D18" s="473"/>
      <c r="E18" s="20"/>
      <c r="F18" s="20"/>
    </row>
    <row r="19" spans="1:6" ht="15.75" customHeight="1">
      <c r="A19" s="20"/>
      <c r="B19" s="20" t="s">
        <v>121</v>
      </c>
      <c r="C19" s="471">
        <f>SUM(C2:C16)</f>
        <v>94.340876923076934</v>
      </c>
      <c r="D19" s="473"/>
      <c r="E19" s="20"/>
      <c r="F19" s="2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1000"/>
  <sheetViews>
    <sheetView zoomScale="120" zoomScaleNormal="120" workbookViewId="0">
      <selection activeCell="F29" sqref="F29"/>
    </sheetView>
  </sheetViews>
  <sheetFormatPr defaultColWidth="12.7109375" defaultRowHeight="15.75" customHeight="1"/>
  <cols>
    <col min="1" max="1" width="2.28515625" customWidth="1"/>
    <col min="2" max="2" width="27.7109375" customWidth="1"/>
    <col min="3" max="42" width="10.140625" customWidth="1"/>
  </cols>
  <sheetData>
    <row r="1" spans="2:42" ht="12.75" customHeight="1"/>
    <row r="2" spans="2:42" ht="17.25" customHeight="1">
      <c r="B2" s="726" t="s">
        <v>122</v>
      </c>
      <c r="C2" s="727"/>
      <c r="D2" s="727"/>
      <c r="E2" s="727"/>
      <c r="F2" s="727"/>
      <c r="G2" s="728"/>
    </row>
    <row r="3" spans="2:42" ht="12.75" customHeight="1">
      <c r="B3" s="23" t="s">
        <v>171</v>
      </c>
      <c r="C3" s="434">
        <f>'Financial Model'!D8</f>
        <v>173450</v>
      </c>
      <c r="D3" s="729" t="s">
        <v>172</v>
      </c>
      <c r="E3" s="730"/>
      <c r="F3" s="731"/>
      <c r="G3" s="88">
        <v>0</v>
      </c>
    </row>
    <row r="4" spans="2:42" ht="12.75" customHeight="1">
      <c r="B4" s="23" t="s">
        <v>173</v>
      </c>
      <c r="C4" s="88">
        <v>0.03</v>
      </c>
      <c r="D4" s="729" t="s">
        <v>174</v>
      </c>
      <c r="E4" s="730"/>
      <c r="F4" s="731"/>
      <c r="G4" s="89">
        <v>0</v>
      </c>
    </row>
    <row r="5" spans="2:42" ht="12.75" customHeight="1">
      <c r="B5" s="38" t="s">
        <v>175</v>
      </c>
      <c r="C5" s="58" t="s">
        <v>186</v>
      </c>
      <c r="D5" s="732" t="s">
        <v>176</v>
      </c>
      <c r="E5" s="733"/>
      <c r="F5" s="734"/>
      <c r="G5" s="90">
        <v>3</v>
      </c>
    </row>
    <row r="6" spans="2:42" ht="12.75" customHeight="1"/>
    <row r="7" spans="2:42" ht="12.75" customHeight="1"/>
    <row r="8" spans="2:42" ht="12.75" customHeight="1">
      <c r="B8" s="91" t="s">
        <v>177</v>
      </c>
      <c r="C8" s="92">
        <v>1</v>
      </c>
      <c r="D8" s="92">
        <v>2</v>
      </c>
      <c r="E8" s="92">
        <v>3</v>
      </c>
      <c r="F8" s="92">
        <v>4</v>
      </c>
      <c r="G8" s="92">
        <v>5</v>
      </c>
      <c r="H8" s="92">
        <v>6</v>
      </c>
      <c r="I8" s="92">
        <v>7</v>
      </c>
      <c r="J8" s="92">
        <v>8</v>
      </c>
      <c r="K8" s="92">
        <v>9</v>
      </c>
      <c r="L8" s="92">
        <v>10</v>
      </c>
      <c r="M8" s="92">
        <v>11</v>
      </c>
      <c r="N8" s="92">
        <v>12</v>
      </c>
      <c r="O8" s="92">
        <v>13</v>
      </c>
      <c r="P8" s="92">
        <v>14</v>
      </c>
      <c r="Q8" s="92">
        <v>15</v>
      </c>
      <c r="R8" s="92">
        <v>16</v>
      </c>
      <c r="S8" s="92">
        <v>17</v>
      </c>
      <c r="T8" s="92">
        <v>18</v>
      </c>
      <c r="U8" s="92">
        <v>19</v>
      </c>
      <c r="V8" s="92">
        <v>20</v>
      </c>
      <c r="W8" s="92">
        <v>21</v>
      </c>
      <c r="X8" s="92">
        <v>22</v>
      </c>
      <c r="Y8" s="92">
        <v>23</v>
      </c>
      <c r="Z8" s="92">
        <v>24</v>
      </c>
      <c r="AA8" s="92">
        <v>25</v>
      </c>
      <c r="AB8" s="92">
        <v>26</v>
      </c>
      <c r="AC8" s="92">
        <v>27</v>
      </c>
      <c r="AD8" s="92">
        <v>28</v>
      </c>
      <c r="AE8" s="92">
        <v>29</v>
      </c>
      <c r="AF8" s="92">
        <v>30</v>
      </c>
      <c r="AG8" s="92">
        <v>31</v>
      </c>
      <c r="AH8" s="92">
        <v>32</v>
      </c>
      <c r="AI8" s="92">
        <v>33</v>
      </c>
      <c r="AJ8" s="92">
        <v>34</v>
      </c>
      <c r="AK8" s="92">
        <v>35</v>
      </c>
      <c r="AL8" s="92">
        <v>36</v>
      </c>
      <c r="AM8" s="92">
        <v>37</v>
      </c>
      <c r="AN8" s="92">
        <v>38</v>
      </c>
      <c r="AO8" s="92">
        <v>39</v>
      </c>
      <c r="AP8" s="93">
        <v>40</v>
      </c>
    </row>
    <row r="9" spans="2:42" ht="12.75" customHeight="1">
      <c r="B9" s="23" t="s">
        <v>178</v>
      </c>
      <c r="C9" s="94">
        <f>IF(C8&gt;$G$4,$C$3*$C$4,0)</f>
        <v>5203.5</v>
      </c>
      <c r="D9" s="94">
        <f t="shared" ref="D9:AP9" si="0">IF(D8&gt;$G$4,C12*$C$4,0)</f>
        <v>5203.5</v>
      </c>
      <c r="E9" s="94">
        <f t="shared" si="0"/>
        <v>5203.5</v>
      </c>
      <c r="F9" s="94">
        <f t="shared" si="0"/>
        <v>5203.5</v>
      </c>
      <c r="G9" s="94">
        <f t="shared" si="0"/>
        <v>5203.5</v>
      </c>
      <c r="H9" s="94">
        <f t="shared" si="0"/>
        <v>5203.5</v>
      </c>
      <c r="I9" s="94">
        <f t="shared" si="0"/>
        <v>5203.5</v>
      </c>
      <c r="J9" s="94">
        <f t="shared" si="0"/>
        <v>5203.5</v>
      </c>
      <c r="K9" s="94">
        <f t="shared" si="0"/>
        <v>5203.5</v>
      </c>
      <c r="L9" s="94">
        <f t="shared" si="0"/>
        <v>5203.5</v>
      </c>
      <c r="M9" s="94">
        <f t="shared" si="0"/>
        <v>5203.5</v>
      </c>
      <c r="N9" s="94">
        <f t="shared" si="0"/>
        <v>5203.5</v>
      </c>
      <c r="O9" s="94">
        <f t="shared" si="0"/>
        <v>5203.5</v>
      </c>
      <c r="P9" s="94">
        <f t="shared" si="0"/>
        <v>5203.5</v>
      </c>
      <c r="Q9" s="94">
        <f t="shared" si="0"/>
        <v>5203.5</v>
      </c>
      <c r="R9" s="94">
        <f t="shared" si="0"/>
        <v>5203.5</v>
      </c>
      <c r="S9" s="94">
        <f t="shared" si="0"/>
        <v>5203.5</v>
      </c>
      <c r="T9" s="94">
        <f t="shared" si="0"/>
        <v>5203.5</v>
      </c>
      <c r="U9" s="94">
        <f t="shared" si="0"/>
        <v>5203.5</v>
      </c>
      <c r="V9" s="94">
        <f t="shared" si="0"/>
        <v>5203.5</v>
      </c>
      <c r="W9" s="94">
        <f t="shared" si="0"/>
        <v>5203.5</v>
      </c>
      <c r="X9" s="94">
        <f t="shared" si="0"/>
        <v>5203.5</v>
      </c>
      <c r="Y9" s="94">
        <f t="shared" si="0"/>
        <v>5203.5</v>
      </c>
      <c r="Z9" s="94">
        <f t="shared" si="0"/>
        <v>5203.5</v>
      </c>
      <c r="AA9" s="94">
        <f t="shared" si="0"/>
        <v>5203.5</v>
      </c>
      <c r="AB9" s="94">
        <f t="shared" si="0"/>
        <v>5203.5</v>
      </c>
      <c r="AC9" s="94">
        <f t="shared" si="0"/>
        <v>5203.5</v>
      </c>
      <c r="AD9" s="94">
        <f t="shared" si="0"/>
        <v>5203.5</v>
      </c>
      <c r="AE9" s="94">
        <f t="shared" si="0"/>
        <v>5203.5</v>
      </c>
      <c r="AF9" s="94">
        <f t="shared" si="0"/>
        <v>5203.5</v>
      </c>
      <c r="AG9" s="94">
        <f t="shared" si="0"/>
        <v>5203.5</v>
      </c>
      <c r="AH9" s="94">
        <f t="shared" si="0"/>
        <v>5203.5</v>
      </c>
      <c r="AI9" s="94">
        <f t="shared" si="0"/>
        <v>5203.5</v>
      </c>
      <c r="AJ9" s="94">
        <f t="shared" si="0"/>
        <v>5203.5</v>
      </c>
      <c r="AK9" s="94">
        <f t="shared" si="0"/>
        <v>5203.5</v>
      </c>
      <c r="AL9" s="94">
        <f t="shared" si="0"/>
        <v>5203.5</v>
      </c>
      <c r="AM9" s="94">
        <f t="shared" si="0"/>
        <v>5203.5</v>
      </c>
      <c r="AN9" s="94">
        <f t="shared" si="0"/>
        <v>5203.5</v>
      </c>
      <c r="AO9" s="94">
        <f t="shared" si="0"/>
        <v>5203.5</v>
      </c>
      <c r="AP9" s="95">
        <f t="shared" si="0"/>
        <v>5203.5</v>
      </c>
    </row>
    <row r="10" spans="2:42" ht="12.75" customHeight="1">
      <c r="B10" s="23" t="s">
        <v>179</v>
      </c>
      <c r="C10" s="94">
        <v>0</v>
      </c>
      <c r="D10" s="94">
        <f t="shared" ref="D10:AP10" si="1">IF($C$5="No",IF(C12&gt;0,-C9,0),0)</f>
        <v>-5203.5</v>
      </c>
      <c r="E10" s="94">
        <f t="shared" si="1"/>
        <v>-5203.5</v>
      </c>
      <c r="F10" s="94">
        <f t="shared" si="1"/>
        <v>-5203.5</v>
      </c>
      <c r="G10" s="94">
        <f t="shared" si="1"/>
        <v>-5203.5</v>
      </c>
      <c r="H10" s="94">
        <f t="shared" si="1"/>
        <v>-5203.5</v>
      </c>
      <c r="I10" s="94">
        <f t="shared" si="1"/>
        <v>-5203.5</v>
      </c>
      <c r="J10" s="94">
        <f t="shared" si="1"/>
        <v>-5203.5</v>
      </c>
      <c r="K10" s="94">
        <f t="shared" si="1"/>
        <v>-5203.5</v>
      </c>
      <c r="L10" s="94">
        <f t="shared" si="1"/>
        <v>-5203.5</v>
      </c>
      <c r="M10" s="94">
        <f t="shared" si="1"/>
        <v>-5203.5</v>
      </c>
      <c r="N10" s="94">
        <f t="shared" si="1"/>
        <v>-5203.5</v>
      </c>
      <c r="O10" s="94">
        <f t="shared" si="1"/>
        <v>-5203.5</v>
      </c>
      <c r="P10" s="94">
        <f t="shared" si="1"/>
        <v>-5203.5</v>
      </c>
      <c r="Q10" s="94">
        <f t="shared" si="1"/>
        <v>-5203.5</v>
      </c>
      <c r="R10" s="94">
        <f t="shared" si="1"/>
        <v>-5203.5</v>
      </c>
      <c r="S10" s="94">
        <f t="shared" si="1"/>
        <v>-5203.5</v>
      </c>
      <c r="T10" s="94">
        <f t="shared" si="1"/>
        <v>-5203.5</v>
      </c>
      <c r="U10" s="94">
        <f t="shared" si="1"/>
        <v>-5203.5</v>
      </c>
      <c r="V10" s="94">
        <f t="shared" si="1"/>
        <v>-5203.5</v>
      </c>
      <c r="W10" s="94">
        <f t="shared" si="1"/>
        <v>-5203.5</v>
      </c>
      <c r="X10" s="94">
        <f t="shared" si="1"/>
        <v>-5203.5</v>
      </c>
      <c r="Y10" s="94">
        <f t="shared" si="1"/>
        <v>-5203.5</v>
      </c>
      <c r="Z10" s="94">
        <f t="shared" si="1"/>
        <v>-5203.5</v>
      </c>
      <c r="AA10" s="94">
        <f t="shared" si="1"/>
        <v>-5203.5</v>
      </c>
      <c r="AB10" s="94">
        <f t="shared" si="1"/>
        <v>-5203.5</v>
      </c>
      <c r="AC10" s="94">
        <f t="shared" si="1"/>
        <v>-5203.5</v>
      </c>
      <c r="AD10" s="94">
        <f t="shared" si="1"/>
        <v>-5203.5</v>
      </c>
      <c r="AE10" s="94">
        <f t="shared" si="1"/>
        <v>-5203.5</v>
      </c>
      <c r="AF10" s="94">
        <f t="shared" si="1"/>
        <v>-5203.5</v>
      </c>
      <c r="AG10" s="94">
        <f t="shared" si="1"/>
        <v>-5203.5</v>
      </c>
      <c r="AH10" s="94">
        <f t="shared" si="1"/>
        <v>-5203.5</v>
      </c>
      <c r="AI10" s="94">
        <f t="shared" si="1"/>
        <v>-5203.5</v>
      </c>
      <c r="AJ10" s="94">
        <f t="shared" si="1"/>
        <v>-5203.5</v>
      </c>
      <c r="AK10" s="94">
        <f t="shared" si="1"/>
        <v>-5203.5</v>
      </c>
      <c r="AL10" s="94">
        <f t="shared" si="1"/>
        <v>-5203.5</v>
      </c>
      <c r="AM10" s="94">
        <f t="shared" si="1"/>
        <v>-5203.5</v>
      </c>
      <c r="AN10" s="94">
        <f t="shared" si="1"/>
        <v>-5203.5</v>
      </c>
      <c r="AO10" s="94">
        <f t="shared" si="1"/>
        <v>-5203.5</v>
      </c>
      <c r="AP10" s="95">
        <f t="shared" si="1"/>
        <v>-5203.5</v>
      </c>
    </row>
    <row r="11" spans="2:42" ht="12.75" customHeight="1">
      <c r="B11" s="23" t="s">
        <v>361</v>
      </c>
      <c r="C11" s="94">
        <f t="shared" ref="C11:AP11" si="2">IF(C8&gt;$G$5,IF(B12&gt;=($C$3*$G$3),-$C$3*$G$3,-(B12+SUM(C9:C10))),0)</f>
        <v>0</v>
      </c>
      <c r="D11" s="94">
        <f t="shared" si="2"/>
        <v>0</v>
      </c>
      <c r="E11" s="94">
        <f t="shared" si="2"/>
        <v>0</v>
      </c>
      <c r="F11" s="94">
        <f t="shared" si="2"/>
        <v>0</v>
      </c>
      <c r="G11" s="94">
        <f t="shared" si="2"/>
        <v>0</v>
      </c>
      <c r="H11" s="94">
        <f t="shared" si="2"/>
        <v>0</v>
      </c>
      <c r="I11" s="94">
        <f t="shared" si="2"/>
        <v>0</v>
      </c>
      <c r="J11" s="94">
        <f t="shared" si="2"/>
        <v>0</v>
      </c>
      <c r="K11" s="94">
        <f t="shared" si="2"/>
        <v>0</v>
      </c>
      <c r="L11" s="94">
        <f t="shared" si="2"/>
        <v>0</v>
      </c>
      <c r="M11" s="94">
        <f t="shared" si="2"/>
        <v>0</v>
      </c>
      <c r="N11" s="94">
        <f t="shared" si="2"/>
        <v>0</v>
      </c>
      <c r="O11" s="94">
        <f t="shared" si="2"/>
        <v>0</v>
      </c>
      <c r="P11" s="94">
        <f t="shared" si="2"/>
        <v>0</v>
      </c>
      <c r="Q11" s="94">
        <f t="shared" si="2"/>
        <v>0</v>
      </c>
      <c r="R11" s="94">
        <f t="shared" si="2"/>
        <v>0</v>
      </c>
      <c r="S11" s="94">
        <f t="shared" si="2"/>
        <v>0</v>
      </c>
      <c r="T11" s="94">
        <f t="shared" si="2"/>
        <v>0</v>
      </c>
      <c r="U11" s="94">
        <f t="shared" si="2"/>
        <v>0</v>
      </c>
      <c r="V11" s="94">
        <f t="shared" si="2"/>
        <v>0</v>
      </c>
      <c r="W11" s="94">
        <f t="shared" si="2"/>
        <v>0</v>
      </c>
      <c r="X11" s="94">
        <f t="shared" si="2"/>
        <v>0</v>
      </c>
      <c r="Y11" s="94">
        <f t="shared" si="2"/>
        <v>0</v>
      </c>
      <c r="Z11" s="94">
        <f t="shared" si="2"/>
        <v>0</v>
      </c>
      <c r="AA11" s="94">
        <f t="shared" si="2"/>
        <v>0</v>
      </c>
      <c r="AB11" s="94">
        <f t="shared" si="2"/>
        <v>0</v>
      </c>
      <c r="AC11" s="94">
        <f t="shared" si="2"/>
        <v>0</v>
      </c>
      <c r="AD11" s="94">
        <f t="shared" si="2"/>
        <v>0</v>
      </c>
      <c r="AE11" s="94">
        <f t="shared" si="2"/>
        <v>0</v>
      </c>
      <c r="AF11" s="94">
        <f t="shared" si="2"/>
        <v>0</v>
      </c>
      <c r="AG11" s="94">
        <f t="shared" si="2"/>
        <v>0</v>
      </c>
      <c r="AH11" s="94">
        <f t="shared" si="2"/>
        <v>0</v>
      </c>
      <c r="AI11" s="94">
        <f t="shared" si="2"/>
        <v>0</v>
      </c>
      <c r="AJ11" s="94">
        <f t="shared" si="2"/>
        <v>0</v>
      </c>
      <c r="AK11" s="94">
        <f t="shared" si="2"/>
        <v>0</v>
      </c>
      <c r="AL11" s="94">
        <f t="shared" si="2"/>
        <v>0</v>
      </c>
      <c r="AM11" s="94">
        <f t="shared" si="2"/>
        <v>0</v>
      </c>
      <c r="AN11" s="94">
        <f t="shared" si="2"/>
        <v>0</v>
      </c>
      <c r="AO11" s="94">
        <f t="shared" si="2"/>
        <v>0</v>
      </c>
      <c r="AP11" s="95">
        <f t="shared" si="2"/>
        <v>0</v>
      </c>
    </row>
    <row r="12" spans="2:42" ht="12.75" customHeight="1">
      <c r="B12" s="596" t="s">
        <v>362</v>
      </c>
      <c r="C12" s="597">
        <f>IF($C$5="Yes",C3+SUM(C9:C11),C3+C11)</f>
        <v>173450</v>
      </c>
      <c r="D12" s="597">
        <f t="shared" ref="D12:AP12" si="3">IF($C$5="Yes",C12+SUM(D9:D11),C12+D11)</f>
        <v>173450</v>
      </c>
      <c r="E12" s="597">
        <f t="shared" si="3"/>
        <v>173450</v>
      </c>
      <c r="F12" s="597">
        <f t="shared" si="3"/>
        <v>173450</v>
      </c>
      <c r="G12" s="597">
        <f t="shared" si="3"/>
        <v>173450</v>
      </c>
      <c r="H12" s="597">
        <f t="shared" si="3"/>
        <v>173450</v>
      </c>
      <c r="I12" s="597">
        <f t="shared" si="3"/>
        <v>173450</v>
      </c>
      <c r="J12" s="597">
        <f t="shared" si="3"/>
        <v>173450</v>
      </c>
      <c r="K12" s="597">
        <f t="shared" si="3"/>
        <v>173450</v>
      </c>
      <c r="L12" s="597">
        <f t="shared" si="3"/>
        <v>173450</v>
      </c>
      <c r="M12" s="597">
        <f t="shared" si="3"/>
        <v>173450</v>
      </c>
      <c r="N12" s="597">
        <f t="shared" si="3"/>
        <v>173450</v>
      </c>
      <c r="O12" s="597">
        <f t="shared" si="3"/>
        <v>173450</v>
      </c>
      <c r="P12" s="597">
        <f t="shared" si="3"/>
        <v>173450</v>
      </c>
      <c r="Q12" s="597">
        <f t="shared" si="3"/>
        <v>173450</v>
      </c>
      <c r="R12" s="597">
        <f t="shared" si="3"/>
        <v>173450</v>
      </c>
      <c r="S12" s="597">
        <f t="shared" si="3"/>
        <v>173450</v>
      </c>
      <c r="T12" s="597">
        <f t="shared" si="3"/>
        <v>173450</v>
      </c>
      <c r="U12" s="597">
        <f t="shared" si="3"/>
        <v>173450</v>
      </c>
      <c r="V12" s="597">
        <f t="shared" si="3"/>
        <v>173450</v>
      </c>
      <c r="W12" s="597">
        <f t="shared" si="3"/>
        <v>173450</v>
      </c>
      <c r="X12" s="597">
        <f t="shared" si="3"/>
        <v>173450</v>
      </c>
      <c r="Y12" s="597">
        <f t="shared" si="3"/>
        <v>173450</v>
      </c>
      <c r="Z12" s="597">
        <f t="shared" si="3"/>
        <v>173450</v>
      </c>
      <c r="AA12" s="597">
        <f t="shared" si="3"/>
        <v>173450</v>
      </c>
      <c r="AB12" s="597">
        <f t="shared" si="3"/>
        <v>173450</v>
      </c>
      <c r="AC12" s="597">
        <f t="shared" si="3"/>
        <v>173450</v>
      </c>
      <c r="AD12" s="597">
        <f t="shared" si="3"/>
        <v>173450</v>
      </c>
      <c r="AE12" s="597">
        <f t="shared" si="3"/>
        <v>173450</v>
      </c>
      <c r="AF12" s="597">
        <f t="shared" si="3"/>
        <v>173450</v>
      </c>
      <c r="AG12" s="597">
        <f t="shared" si="3"/>
        <v>173450</v>
      </c>
      <c r="AH12" s="597">
        <f t="shared" si="3"/>
        <v>173450</v>
      </c>
      <c r="AI12" s="597">
        <f t="shared" si="3"/>
        <v>173450</v>
      </c>
      <c r="AJ12" s="597">
        <f t="shared" si="3"/>
        <v>173450</v>
      </c>
      <c r="AK12" s="597">
        <f t="shared" si="3"/>
        <v>173450</v>
      </c>
      <c r="AL12" s="597">
        <f t="shared" si="3"/>
        <v>173450</v>
      </c>
      <c r="AM12" s="597">
        <f t="shared" si="3"/>
        <v>173450</v>
      </c>
      <c r="AN12" s="597">
        <f t="shared" si="3"/>
        <v>173450</v>
      </c>
      <c r="AO12" s="597">
        <f t="shared" si="3"/>
        <v>173450</v>
      </c>
      <c r="AP12" s="598">
        <f t="shared" si="3"/>
        <v>173450</v>
      </c>
    </row>
    <row r="13" spans="2:42" s="595" customFormat="1" ht="12.75" customHeight="1">
      <c r="B13" s="599" t="s">
        <v>360</v>
      </c>
      <c r="C13" s="600">
        <f>'Financial Model'!$S23</f>
        <v>493.63600000000008</v>
      </c>
      <c r="D13" s="600">
        <f>'Financial Model'!$S24</f>
        <v>507.45780800000011</v>
      </c>
      <c r="E13" s="600">
        <f>'Financial Model'!$S25</f>
        <v>521.66662662400017</v>
      </c>
      <c r="F13" s="600">
        <f>'Financial Model'!$S26</f>
        <v>536.27329216947226</v>
      </c>
      <c r="G13" s="600">
        <f>'Financial Model'!$S27</f>
        <v>551.28894435021743</v>
      </c>
      <c r="H13" s="600">
        <f>'Financial Model'!$S28</f>
        <v>566.72503479202351</v>
      </c>
      <c r="I13" s="600">
        <f>'Financial Model'!$S29</f>
        <v>582.5933357662002</v>
      </c>
      <c r="J13" s="600">
        <f>'Financial Model'!$S30</f>
        <v>598.90594916765383</v>
      </c>
      <c r="K13" s="600">
        <f>'Financial Model'!$S31</f>
        <v>615.67531574434815</v>
      </c>
      <c r="L13" s="600">
        <f>'Financial Model'!$S32</f>
        <v>632.91422458518991</v>
      </c>
      <c r="M13" s="600">
        <f>'Financial Model'!$S33</f>
        <v>650.63582287357531</v>
      </c>
      <c r="N13" s="600">
        <f>'Financial Model'!$S34</f>
        <v>668.85362591403543</v>
      </c>
      <c r="O13" s="600">
        <f>'Financial Model'!$S35</f>
        <v>687.58152743962842</v>
      </c>
      <c r="P13" s="600">
        <f>'Financial Model'!$S36</f>
        <v>706.83381020793797</v>
      </c>
      <c r="Q13" s="600">
        <f>'Financial Model'!$S37</f>
        <v>726.62515689376028</v>
      </c>
      <c r="R13" s="600">
        <f>'Financial Model'!$S38</f>
        <v>746.97066128678557</v>
      </c>
      <c r="S13" s="600">
        <f>'Financial Model'!$S39</f>
        <v>767.88583980281555</v>
      </c>
      <c r="T13" s="600">
        <f>'Financial Model'!$S40</f>
        <v>789.38664331729444</v>
      </c>
      <c r="U13" s="600">
        <f>'Financial Model'!$S41</f>
        <v>811.48946933017874</v>
      </c>
      <c r="V13" s="600">
        <f>'Financial Model'!$S42</f>
        <v>834.21117447142376</v>
      </c>
      <c r="W13" s="600">
        <f>'Financial Model'!$S43</f>
        <v>857.56908735662364</v>
      </c>
      <c r="X13" s="600">
        <f>'Financial Model'!$S44</f>
        <v>881.58102180260926</v>
      </c>
      <c r="Y13" s="600">
        <f>'Financial Model'!$S45</f>
        <v>906.26529041308231</v>
      </c>
      <c r="Z13" s="600">
        <f>'Financial Model'!$S46</f>
        <v>931.64071854464862</v>
      </c>
      <c r="AA13" s="600">
        <f>'Financial Model'!$S47</f>
        <v>957.72665866389877</v>
      </c>
      <c r="AB13" s="600">
        <f>'Financial Model'!$S48</f>
        <v>984.54300510648795</v>
      </c>
      <c r="AC13" s="600">
        <f>'Financial Model'!$S49</f>
        <v>1012.1102092494696</v>
      </c>
      <c r="AD13" s="600">
        <f>'Financial Model'!$S50</f>
        <v>1040.4492951084546</v>
      </c>
      <c r="AE13" s="600">
        <f>'Financial Model'!$S51</f>
        <v>1069.5818753714916</v>
      </c>
      <c r="AF13" s="600">
        <f>'Financial Model'!$S52</f>
        <v>1099.5301678818932</v>
      </c>
      <c r="AG13" s="600">
        <f>'Financial Model'!$S53</f>
        <v>1130.3170125825864</v>
      </c>
      <c r="AH13" s="600">
        <f>'Financial Model'!$S54</f>
        <v>1161.9658889348989</v>
      </c>
      <c r="AI13" s="600">
        <f>'Financial Model'!$S55</f>
        <v>1194.5009338250761</v>
      </c>
      <c r="AJ13" s="600">
        <f>'Financial Model'!$S56</f>
        <v>1227.9469599721783</v>
      </c>
      <c r="AK13" s="600">
        <f>'Financial Model'!$S57</f>
        <v>1262.3294748513993</v>
      </c>
      <c r="AL13" s="600">
        <f>'Financial Model'!$S58</f>
        <v>1297.6747001472386</v>
      </c>
      <c r="AM13" s="600">
        <f>'Financial Model'!$S59</f>
        <v>1334.0095917513611</v>
      </c>
      <c r="AN13" s="600">
        <f>'Financial Model'!$S60</f>
        <v>1371.3618603203993</v>
      </c>
      <c r="AO13" s="600">
        <f>'Financial Model'!$S61</f>
        <v>1409.7599924093704</v>
      </c>
      <c r="AP13" s="601">
        <f>'Financial Model'!$S62</f>
        <v>1449.2332721968328</v>
      </c>
    </row>
    <row r="14" spans="2:42" s="595" customFormat="1" ht="12.75" customHeight="1">
      <c r="B14" s="602" t="s">
        <v>363</v>
      </c>
      <c r="C14" s="603">
        <f>C13</f>
        <v>493.63600000000008</v>
      </c>
      <c r="D14" s="603">
        <f>C14+D13</f>
        <v>1001.0938080000002</v>
      </c>
      <c r="E14" s="603">
        <f t="shared" ref="E14:AP14" si="4">D14+E13</f>
        <v>1522.7604346240005</v>
      </c>
      <c r="F14" s="603">
        <f t="shared" si="4"/>
        <v>2059.0337267934729</v>
      </c>
      <c r="G14" s="603">
        <f t="shared" si="4"/>
        <v>2610.3226711436901</v>
      </c>
      <c r="H14" s="603">
        <f t="shared" si="4"/>
        <v>3177.0477059357136</v>
      </c>
      <c r="I14" s="603">
        <f t="shared" si="4"/>
        <v>3759.6410417019138</v>
      </c>
      <c r="J14" s="603">
        <f t="shared" si="4"/>
        <v>4358.5469908695677</v>
      </c>
      <c r="K14" s="603">
        <f t="shared" si="4"/>
        <v>4974.2223066139159</v>
      </c>
      <c r="L14" s="603">
        <f t="shared" si="4"/>
        <v>5607.1365311991058</v>
      </c>
      <c r="M14" s="603">
        <f t="shared" si="4"/>
        <v>6257.7723540726811</v>
      </c>
      <c r="N14" s="603">
        <f t="shared" si="4"/>
        <v>6926.6259799867166</v>
      </c>
      <c r="O14" s="603">
        <f t="shared" si="4"/>
        <v>7614.2075074263448</v>
      </c>
      <c r="P14" s="603">
        <f t="shared" si="4"/>
        <v>8321.0413176342827</v>
      </c>
      <c r="Q14" s="603">
        <f t="shared" si="4"/>
        <v>9047.6664745280432</v>
      </c>
      <c r="R14" s="603">
        <f t="shared" si="4"/>
        <v>9794.6371358148281</v>
      </c>
      <c r="S14" s="603">
        <f t="shared" si="4"/>
        <v>10562.522975617643</v>
      </c>
      <c r="T14" s="603">
        <f t="shared" si="4"/>
        <v>11351.909618934938</v>
      </c>
      <c r="U14" s="603">
        <f t="shared" si="4"/>
        <v>12163.399088265118</v>
      </c>
      <c r="V14" s="603">
        <f t="shared" si="4"/>
        <v>12997.610262736542</v>
      </c>
      <c r="W14" s="603">
        <f t="shared" si="4"/>
        <v>13855.179350093165</v>
      </c>
      <c r="X14" s="603">
        <f t="shared" si="4"/>
        <v>14736.760371895774</v>
      </c>
      <c r="Y14" s="603">
        <f t="shared" si="4"/>
        <v>15643.025662308857</v>
      </c>
      <c r="Z14" s="603">
        <f t="shared" si="4"/>
        <v>16574.666380853505</v>
      </c>
      <c r="AA14" s="603">
        <f t="shared" si="4"/>
        <v>17532.393039517403</v>
      </c>
      <c r="AB14" s="603">
        <f t="shared" si="4"/>
        <v>18516.93604462389</v>
      </c>
      <c r="AC14" s="603">
        <f t="shared" si="4"/>
        <v>19529.046253873359</v>
      </c>
      <c r="AD14" s="603">
        <f t="shared" si="4"/>
        <v>20569.495548981813</v>
      </c>
      <c r="AE14" s="603">
        <f t="shared" si="4"/>
        <v>21639.077424353305</v>
      </c>
      <c r="AF14" s="603">
        <f t="shared" si="4"/>
        <v>22738.607592235199</v>
      </c>
      <c r="AG14" s="603">
        <f t="shared" si="4"/>
        <v>23868.924604817785</v>
      </c>
      <c r="AH14" s="603">
        <f t="shared" si="4"/>
        <v>25030.890493752682</v>
      </c>
      <c r="AI14" s="603">
        <f t="shared" si="4"/>
        <v>26225.391427577757</v>
      </c>
      <c r="AJ14" s="603">
        <f t="shared" si="4"/>
        <v>27453.338387549935</v>
      </c>
      <c r="AK14" s="603">
        <f t="shared" si="4"/>
        <v>28715.667862401333</v>
      </c>
      <c r="AL14" s="603">
        <f t="shared" si="4"/>
        <v>30013.342562548572</v>
      </c>
      <c r="AM14" s="603">
        <f t="shared" si="4"/>
        <v>31347.352154299933</v>
      </c>
      <c r="AN14" s="603">
        <f t="shared" si="4"/>
        <v>32718.714014620331</v>
      </c>
      <c r="AO14" s="603">
        <f t="shared" si="4"/>
        <v>34128.474007029705</v>
      </c>
      <c r="AP14" s="604">
        <f t="shared" si="4"/>
        <v>35577.707279226539</v>
      </c>
    </row>
    <row r="15" spans="2:42" ht="12.75" customHeight="1"/>
    <row r="16" spans="2:4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B2:G2"/>
    <mergeCell ref="D3:F3"/>
    <mergeCell ref="D4:F4"/>
    <mergeCell ref="D5:F5"/>
  </mergeCells>
  <dataValidations disablePrompts="1" count="1">
    <dataValidation type="list" allowBlank="1" showInputMessage="1" showErrorMessage="1" prompt=" - " sqref="C5">
      <formula1>"Yes,No"</formula1>
    </dataValidation>
  </dataValidations>
  <pageMargins left="0.39370078740157483" right="0.39370078740157483" top="0.39370078740157483" bottom="0.39370078740157483" header="0" footer="0"/>
  <pageSetup scale="23" orientation="portrait" r:id="rId1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U67"/>
  <sheetViews>
    <sheetView zoomScale="80" zoomScaleNormal="80" workbookViewId="0">
      <selection activeCell="J27" sqref="J27"/>
    </sheetView>
  </sheetViews>
  <sheetFormatPr defaultColWidth="12.7109375" defaultRowHeight="15.75" customHeight="1"/>
  <cols>
    <col min="1" max="1" width="2.28515625" customWidth="1"/>
    <col min="2" max="2" width="28.42578125" customWidth="1"/>
    <col min="7" max="7" width="2.28515625" customWidth="1"/>
    <col min="13" max="13" width="8.7109375" bestFit="1" customWidth="1"/>
  </cols>
  <sheetData>
    <row r="1" spans="1:47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5.75" customHeight="1">
      <c r="A2" s="5"/>
      <c r="C2" s="6" t="s">
        <v>16</v>
      </c>
      <c r="D2" s="6" t="s">
        <v>17</v>
      </c>
      <c r="E2" s="6" t="s">
        <v>18</v>
      </c>
      <c r="F2" s="6" t="s">
        <v>19</v>
      </c>
      <c r="G2" s="7"/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>
        <v>6</v>
      </c>
      <c r="N2" s="6">
        <v>7</v>
      </c>
      <c r="O2" s="6">
        <v>8</v>
      </c>
      <c r="P2" s="6">
        <v>9</v>
      </c>
      <c r="Q2" s="6">
        <v>10</v>
      </c>
      <c r="R2" s="6">
        <v>11</v>
      </c>
      <c r="S2" s="6">
        <v>12</v>
      </c>
      <c r="T2" s="6">
        <v>13</v>
      </c>
      <c r="U2" s="6">
        <v>14</v>
      </c>
      <c r="V2" s="6">
        <v>15</v>
      </c>
      <c r="W2" s="6">
        <v>16</v>
      </c>
      <c r="X2" s="6">
        <v>17</v>
      </c>
      <c r="Y2" s="6">
        <v>18</v>
      </c>
      <c r="Z2" s="6">
        <v>19</v>
      </c>
      <c r="AA2" s="6">
        <v>20</v>
      </c>
      <c r="AB2" s="6">
        <v>21</v>
      </c>
      <c r="AC2" s="6">
        <v>22</v>
      </c>
      <c r="AD2" s="6">
        <v>23</v>
      </c>
      <c r="AE2" s="6">
        <v>24</v>
      </c>
      <c r="AF2" s="6">
        <v>25</v>
      </c>
      <c r="AG2" s="6">
        <v>26</v>
      </c>
      <c r="AH2" s="6">
        <v>27</v>
      </c>
      <c r="AI2" s="6">
        <v>28</v>
      </c>
      <c r="AJ2" s="6">
        <v>29</v>
      </c>
      <c r="AK2" s="6">
        <v>30</v>
      </c>
      <c r="AL2" s="6">
        <v>31</v>
      </c>
      <c r="AM2" s="6">
        <v>32</v>
      </c>
      <c r="AN2" s="6">
        <v>33</v>
      </c>
      <c r="AO2" s="6">
        <v>34</v>
      </c>
      <c r="AP2" s="6">
        <v>35</v>
      </c>
      <c r="AQ2" s="6">
        <v>36</v>
      </c>
      <c r="AR2" s="6">
        <v>37</v>
      </c>
      <c r="AS2" s="6">
        <v>38</v>
      </c>
      <c r="AT2" s="6">
        <v>39</v>
      </c>
      <c r="AU2" s="6">
        <v>40</v>
      </c>
    </row>
    <row r="3" spans="1:47" ht="15.75" customHeight="1">
      <c r="A3" s="5"/>
      <c r="B3" s="8"/>
      <c r="C3" s="9" t="s">
        <v>25</v>
      </c>
      <c r="D3" s="9" t="s">
        <v>25</v>
      </c>
      <c r="E3" s="9" t="s">
        <v>25</v>
      </c>
      <c r="F3" s="9" t="s">
        <v>25</v>
      </c>
      <c r="G3" s="10"/>
      <c r="H3" s="9" t="s">
        <v>25</v>
      </c>
      <c r="I3" s="9" t="s">
        <v>25</v>
      </c>
      <c r="J3" s="9" t="s">
        <v>25</v>
      </c>
      <c r="K3" s="9" t="s">
        <v>25</v>
      </c>
      <c r="L3" s="9" t="s">
        <v>25</v>
      </c>
      <c r="M3" s="9" t="s">
        <v>25</v>
      </c>
      <c r="N3" s="9" t="s">
        <v>25</v>
      </c>
      <c r="O3" s="9" t="s">
        <v>25</v>
      </c>
      <c r="P3" s="9" t="s">
        <v>25</v>
      </c>
      <c r="Q3" s="9" t="s">
        <v>25</v>
      </c>
      <c r="R3" s="9" t="s">
        <v>25</v>
      </c>
      <c r="S3" s="9" t="s">
        <v>25</v>
      </c>
      <c r="T3" s="9" t="s">
        <v>25</v>
      </c>
      <c r="U3" s="9" t="s">
        <v>25</v>
      </c>
      <c r="V3" s="9" t="s">
        <v>25</v>
      </c>
      <c r="W3" s="9" t="s">
        <v>25</v>
      </c>
      <c r="X3" s="9" t="s">
        <v>25</v>
      </c>
      <c r="Y3" s="9" t="s">
        <v>25</v>
      </c>
      <c r="Z3" s="9" t="s">
        <v>25</v>
      </c>
      <c r="AA3" s="9" t="s">
        <v>25</v>
      </c>
      <c r="AB3" s="9" t="s">
        <v>25</v>
      </c>
      <c r="AC3" s="9" t="s">
        <v>25</v>
      </c>
      <c r="AD3" s="9" t="s">
        <v>25</v>
      </c>
      <c r="AE3" s="9" t="s">
        <v>25</v>
      </c>
      <c r="AF3" s="9" t="s">
        <v>25</v>
      </c>
      <c r="AG3" s="9" t="s">
        <v>25</v>
      </c>
      <c r="AH3" s="9" t="s">
        <v>25</v>
      </c>
      <c r="AI3" s="9" t="s">
        <v>25</v>
      </c>
      <c r="AJ3" s="9" t="s">
        <v>25</v>
      </c>
      <c r="AK3" s="9" t="s">
        <v>25</v>
      </c>
      <c r="AL3" s="9" t="s">
        <v>25</v>
      </c>
      <c r="AM3" s="9" t="s">
        <v>25</v>
      </c>
      <c r="AN3" s="9" t="s">
        <v>25</v>
      </c>
      <c r="AO3" s="9" t="s">
        <v>25</v>
      </c>
      <c r="AP3" s="9" t="s">
        <v>25</v>
      </c>
      <c r="AQ3" s="9" t="s">
        <v>25</v>
      </c>
      <c r="AR3" s="9" t="s">
        <v>25</v>
      </c>
      <c r="AS3" s="9" t="s">
        <v>25</v>
      </c>
      <c r="AT3" s="9" t="s">
        <v>25</v>
      </c>
      <c r="AU3" s="9" t="s">
        <v>25</v>
      </c>
    </row>
    <row r="4" spans="1:47" ht="15.75" customHeight="1">
      <c r="A4" s="5"/>
      <c r="B4" s="8" t="s">
        <v>26</v>
      </c>
      <c r="G4" s="5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8"/>
      <c r="X4" s="478"/>
      <c r="Y4" s="478"/>
      <c r="Z4" s="478"/>
      <c r="AA4" s="478"/>
      <c r="AB4" s="478"/>
      <c r="AC4" s="478"/>
      <c r="AD4" s="478"/>
      <c r="AE4" s="478"/>
      <c r="AF4" s="478"/>
      <c r="AG4" s="478"/>
      <c r="AH4" s="478"/>
      <c r="AI4" s="478"/>
      <c r="AJ4" s="478"/>
      <c r="AK4" s="478"/>
      <c r="AL4" s="478"/>
      <c r="AM4" s="478"/>
      <c r="AN4" s="478"/>
      <c r="AO4" s="478"/>
      <c r="AP4" s="478"/>
      <c r="AQ4" s="478"/>
      <c r="AR4" s="478"/>
      <c r="AS4" s="478"/>
      <c r="AT4" s="478"/>
      <c r="AU4" s="478"/>
    </row>
    <row r="5" spans="1:47" ht="15.75" customHeight="1">
      <c r="A5" s="5"/>
      <c r="B5" s="11" t="s">
        <v>226</v>
      </c>
      <c r="C5" s="12">
        <f>$H5/4</f>
        <v>2468.1800000000003</v>
      </c>
      <c r="D5" s="12">
        <f>$H5/4</f>
        <v>2468.1800000000003</v>
      </c>
      <c r="E5" s="12">
        <f>$H5/4</f>
        <v>2468.1800000000003</v>
      </c>
      <c r="F5" s="12">
        <f>$H5/4</f>
        <v>2468.1800000000003</v>
      </c>
      <c r="G5" s="13"/>
      <c r="H5" s="12">
        <f>'Financial Model'!E$23</f>
        <v>9872.7200000000012</v>
      </c>
      <c r="I5" s="12">
        <f>'Financial Model'!E$24</f>
        <v>10149.156160000002</v>
      </c>
      <c r="J5" s="12">
        <f>'Financial Model'!E$25</f>
        <v>10433.332532480003</v>
      </c>
      <c r="K5" s="12">
        <f>'Financial Model'!E$26</f>
        <v>10725.465843389444</v>
      </c>
      <c r="L5" s="12">
        <f>'Financial Model'!E$27</f>
        <v>11025.778887004348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ht="15.75" customHeight="1">
      <c r="A6" s="5"/>
      <c r="B6" s="11" t="s">
        <v>227</v>
      </c>
      <c r="C6" s="12">
        <f t="shared" ref="C6:E6" si="0">$H6/4</f>
        <v>0</v>
      </c>
      <c r="D6" s="12">
        <f t="shared" si="0"/>
        <v>0</v>
      </c>
      <c r="E6" s="12">
        <f t="shared" si="0"/>
        <v>0</v>
      </c>
      <c r="F6" s="12">
        <f>$H6/4</f>
        <v>0</v>
      </c>
      <c r="G6" s="13"/>
      <c r="H6" s="12">
        <f>'Financial Model'!F$23</f>
        <v>0</v>
      </c>
      <c r="I6" s="12">
        <f ca="1">'Financial Model'!F$24</f>
        <v>281.18023200000005</v>
      </c>
      <c r="J6" s="12">
        <f ca="1">'Financial Model'!F$25</f>
        <v>422.62669245600006</v>
      </c>
      <c r="K6" s="12">
        <f ca="1">'Financial Model'!F$26</f>
        <v>576.47614059856824</v>
      </c>
      <c r="L6" s="12">
        <f ca="1">'Financial Model'!F$27</f>
        <v>743.33074329611725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15.75" customHeight="1">
      <c r="A7" s="5"/>
      <c r="B7" s="11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ht="15.75" customHeight="1">
      <c r="A8" s="5"/>
      <c r="B8" s="8" t="s">
        <v>343</v>
      </c>
      <c r="C8" s="14">
        <f t="shared" ref="C8:F8" si="1">SUM(C5:C7)</f>
        <v>2468.1800000000003</v>
      </c>
      <c r="D8" s="14">
        <f t="shared" si="1"/>
        <v>2468.1800000000003</v>
      </c>
      <c r="E8" s="14">
        <f t="shared" si="1"/>
        <v>2468.1800000000003</v>
      </c>
      <c r="F8" s="14">
        <f t="shared" si="1"/>
        <v>2468.1800000000003</v>
      </c>
      <c r="G8" s="15"/>
      <c r="H8" s="14">
        <f>SUM(C8:F8)</f>
        <v>9872.7200000000012</v>
      </c>
      <c r="I8" s="14">
        <f t="shared" ref="I8:L8" ca="1" si="2">SUM(I5:I7)</f>
        <v>10430.336392000003</v>
      </c>
      <c r="J8" s="14">
        <f t="shared" ca="1" si="2"/>
        <v>10855.959224936003</v>
      </c>
      <c r="K8" s="14">
        <f t="shared" ca="1" si="2"/>
        <v>11301.941983988012</v>
      </c>
      <c r="L8" s="14">
        <f t="shared" ca="1" si="2"/>
        <v>11769.109630300465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 spans="1:47" ht="15.75" customHeight="1">
      <c r="A9" s="5"/>
      <c r="C9" s="12"/>
      <c r="D9" s="12"/>
      <c r="E9" s="12"/>
      <c r="F9" s="12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ht="15.75" customHeight="1">
      <c r="A10" s="5"/>
      <c r="B10" s="8" t="s">
        <v>28</v>
      </c>
      <c r="C10" s="12"/>
      <c r="D10" s="12"/>
      <c r="E10" s="12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ht="15.75" customHeight="1">
      <c r="A11" s="5"/>
      <c r="B11" s="11" t="str">
        <f>'Weekly Overheads'!B2</f>
        <v>Wages and Salaries</v>
      </c>
      <c r="C11" s="12">
        <f t="shared" ref="C11:E11" si="3">$H11/4</f>
        <v>0</v>
      </c>
      <c r="D11" s="12">
        <f t="shared" si="3"/>
        <v>0</v>
      </c>
      <c r="E11" s="12">
        <f t="shared" si="3"/>
        <v>0</v>
      </c>
      <c r="F11" s="12">
        <f>$H11/4</f>
        <v>0</v>
      </c>
      <c r="G11" s="13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ht="15.75" customHeight="1">
      <c r="A12" s="5"/>
      <c r="B12" s="11" t="str">
        <f>'Weekly Overheads'!B3</f>
        <v>Property Mgmt Costs</v>
      </c>
      <c r="C12" s="12">
        <f>$H12/4</f>
        <v>-320.86340000000007</v>
      </c>
      <c r="D12" s="12">
        <f>$H12/4</f>
        <v>-320.86340000000007</v>
      </c>
      <c r="E12" s="12">
        <f>$H12/4</f>
        <v>-320.86340000000007</v>
      </c>
      <c r="F12" s="12">
        <f>$H12/4</f>
        <v>-320.86340000000007</v>
      </c>
      <c r="G12" s="13"/>
      <c r="H12" s="12">
        <f>-'Financial Model'!$I23</f>
        <v>-1283.4536000000003</v>
      </c>
      <c r="I12" s="12">
        <f>-'Financial Model'!$I24</f>
        <v>-1319.3903008000004</v>
      </c>
      <c r="J12" s="12">
        <f>-'Financial Model'!$I25</f>
        <v>-1356.3332292224004</v>
      </c>
      <c r="K12" s="12">
        <f>-'Financial Model'!$I26</f>
        <v>-1394.3105596406278</v>
      </c>
      <c r="L12" s="12">
        <f>-'Financial Model'!$I27</f>
        <v>-1433.3512553105652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ht="15.75" customHeight="1">
      <c r="A13" s="5"/>
      <c r="B13" s="11" t="str">
        <f>'Weekly Overheads'!B4</f>
        <v>Rates</v>
      </c>
      <c r="C13" s="12">
        <f>-'Weekly Overheads'!$C4*52.2/4</f>
        <v>0</v>
      </c>
      <c r="D13" s="12">
        <f>-'Weekly Overheads'!$C4*52.2/4</f>
        <v>0</v>
      </c>
      <c r="E13" s="12">
        <f>-'Weekly Overheads'!$C4*52.2/4</f>
        <v>0</v>
      </c>
      <c r="F13" s="12">
        <f>-'Weekly Overheads'!$C4*52.2/4</f>
        <v>0</v>
      </c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ht="15.75" customHeight="1">
      <c r="A14" s="5"/>
      <c r="B14" s="11" t="str">
        <f>'Weekly Overheads'!B5</f>
        <v>Utilities</v>
      </c>
      <c r="C14" s="12">
        <f>-'Weekly Overheads'!$C5*52.2/4</f>
        <v>0</v>
      </c>
      <c r="D14" s="12">
        <f>-'Weekly Overheads'!$C5*52.2/4</f>
        <v>0</v>
      </c>
      <c r="E14" s="12">
        <f>-'Weekly Overheads'!$C5*52.2/4</f>
        <v>0</v>
      </c>
      <c r="F14" s="12">
        <f>-'Weekly Overheads'!$C5*52.2/4</f>
        <v>0</v>
      </c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ht="15.75" customHeight="1">
      <c r="A15" s="5"/>
      <c r="B15" s="11" t="str">
        <f>'Weekly Overheads'!B6</f>
        <v>Repairs and Renewals</v>
      </c>
      <c r="C15" s="12">
        <f t="shared" ref="C15:F16" si="4">$H15/4</f>
        <v>-96.875</v>
      </c>
      <c r="D15" s="12">
        <f t="shared" si="4"/>
        <v>-96.875</v>
      </c>
      <c r="E15" s="12">
        <f t="shared" si="4"/>
        <v>-96.875</v>
      </c>
      <c r="F15" s="12">
        <f t="shared" si="4"/>
        <v>-96.875</v>
      </c>
      <c r="G15" s="13"/>
      <c r="H15" s="12">
        <f>-('Financial Model'!J23+'Financial Model'!K23)</f>
        <v>-387.5</v>
      </c>
      <c r="I15" s="12">
        <f ca="1">-('Financial Model'!J24+'Financial Model'!K24)</f>
        <v>-397.1875</v>
      </c>
      <c r="J15" s="12">
        <f ca="1">-('Financial Model'!J25+'Financial Model'!K25)</f>
        <v>-407.1171875</v>
      </c>
      <c r="K15" s="12">
        <f ca="1">-('Financial Model'!J26+'Financial Model'!K26)</f>
        <v>-417.29511718750001</v>
      </c>
      <c r="L15" s="12">
        <f ca="1">-('Financial Model'!J27+'Financial Model'!K27)</f>
        <v>-427.72749511718746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ht="15.75" customHeight="1">
      <c r="A16" s="5"/>
      <c r="B16" s="11" t="str">
        <f>'Weekly Overheads'!B7</f>
        <v>Insurance</v>
      </c>
      <c r="C16" s="12">
        <f t="shared" si="4"/>
        <v>-77.5</v>
      </c>
      <c r="D16" s="12">
        <f t="shared" si="4"/>
        <v>-77.5</v>
      </c>
      <c r="E16" s="12">
        <f t="shared" si="4"/>
        <v>-77.5</v>
      </c>
      <c r="F16" s="12">
        <f t="shared" si="4"/>
        <v>-77.5</v>
      </c>
      <c r="G16" s="13"/>
      <c r="H16" s="12">
        <f>-'Financial Model'!H$23</f>
        <v>-310</v>
      </c>
      <c r="I16" s="12">
        <f>-'Financial Model'!H$24</f>
        <v>-317.75</v>
      </c>
      <c r="J16" s="12">
        <f>-'Financial Model'!H$25</f>
        <v>-325.69375000000002</v>
      </c>
      <c r="K16" s="12">
        <f>-'Financial Model'!H$26</f>
        <v>-333.83609375000003</v>
      </c>
      <c r="L16" s="12">
        <f>-'Financial Model'!H$27</f>
        <v>-342.18199609374994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ht="15.75" customHeight="1">
      <c r="A17" s="5"/>
      <c r="B17" s="11" t="s">
        <v>331</v>
      </c>
      <c r="C17" s="12">
        <f>H17</f>
        <v>-9450</v>
      </c>
      <c r="D17" s="12"/>
      <c r="E17" s="12"/>
      <c r="F17" s="12"/>
      <c r="G17" s="13"/>
      <c r="H17" s="12">
        <f>-('Start Up Costs'!L17+'Start Up Costs'!L18)</f>
        <v>-9450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ht="15.75" customHeight="1">
      <c r="A18" s="5"/>
      <c r="B18" s="8" t="s">
        <v>29</v>
      </c>
      <c r="C18" s="14">
        <f>SUM(C11:C17)</f>
        <v>-9945.2384000000002</v>
      </c>
      <c r="D18" s="14">
        <f>SUM(D11:D17)</f>
        <v>-495.23840000000007</v>
      </c>
      <c r="E18" s="14">
        <f>SUM(E11:E17)</f>
        <v>-495.23840000000007</v>
      </c>
      <c r="F18" s="14">
        <f>SUM(F11:F17)</f>
        <v>-495.23840000000007</v>
      </c>
      <c r="G18" s="13"/>
      <c r="H18" s="14">
        <f>SUM(C18:F18)</f>
        <v>-11430.953600000001</v>
      </c>
      <c r="I18" s="14">
        <f ca="1">SUM(I11:I17)</f>
        <v>-2034.3278008000004</v>
      </c>
      <c r="J18" s="14">
        <f ca="1">SUM(J11:J17)</f>
        <v>-2089.1441667224003</v>
      </c>
      <c r="K18" s="14">
        <f ca="1">SUM(K11:K17)</f>
        <v>-2145.4417705781279</v>
      </c>
      <c r="L18" s="14">
        <f ca="1">SUM(L11:L17)</f>
        <v>-2203.2607465215028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</row>
    <row r="19" spans="1:47" ht="15.75" customHeight="1">
      <c r="A19" s="5"/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ht="15.75" customHeight="1">
      <c r="A20" s="5"/>
      <c r="B20" s="8" t="s">
        <v>30</v>
      </c>
      <c r="C20" s="14">
        <f>C8+C18</f>
        <v>-7477.0583999999999</v>
      </c>
      <c r="D20" s="14">
        <f>D8+D18</f>
        <v>1972.9416000000001</v>
      </c>
      <c r="E20" s="14">
        <f>E8+E18</f>
        <v>1972.9416000000001</v>
      </c>
      <c r="F20" s="14">
        <f>F8+F18</f>
        <v>1972.9416000000001</v>
      </c>
      <c r="G20" s="13"/>
      <c r="H20" s="14">
        <f>H8+H18</f>
        <v>-1558.2335999999996</v>
      </c>
      <c r="I20" s="14">
        <f ca="1">I8+I18</f>
        <v>8396.0085912000031</v>
      </c>
      <c r="J20" s="14">
        <f ca="1">J8+J18</f>
        <v>8766.8150582136022</v>
      </c>
      <c r="K20" s="14">
        <f ca="1">K8+K18</f>
        <v>9156.5002134098831</v>
      </c>
      <c r="L20" s="14">
        <f ca="1">L8+L18</f>
        <v>9565.8488837789628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</row>
    <row r="21" spans="1:47" ht="15.75" customHeight="1">
      <c r="A21" s="5"/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478" customFormat="1" ht="15.75" customHeight="1">
      <c r="A22" s="5"/>
      <c r="B22" s="8" t="s">
        <v>31</v>
      </c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478" customFormat="1" ht="15.75" customHeight="1">
      <c r="A23" s="5"/>
      <c r="B23" s="11" t="s">
        <v>32</v>
      </c>
      <c r="C23" s="12">
        <f>H23/4</f>
        <v>0</v>
      </c>
      <c r="D23" s="12">
        <f>C23</f>
        <v>0</v>
      </c>
      <c r="E23" s="12">
        <f>D23</f>
        <v>0</v>
      </c>
      <c r="F23" s="12">
        <f>E23</f>
        <v>0</v>
      </c>
      <c r="G23" s="13"/>
      <c r="H23" s="12">
        <f>'Community Shares'!C10</f>
        <v>0</v>
      </c>
      <c r="I23" s="12">
        <f>'Community Shares'!D10</f>
        <v>-5203.5</v>
      </c>
      <c r="J23" s="12">
        <f>'Community Shares'!E10</f>
        <v>-5203.5</v>
      </c>
      <c r="K23" s="12">
        <f>'Community Shares'!F10</f>
        <v>-5203.5</v>
      </c>
      <c r="L23" s="12">
        <f>'Community Shares'!G10</f>
        <v>-5203.5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478" customFormat="1" ht="15.75" customHeight="1">
      <c r="A24" s="5"/>
      <c r="B24" s="11" t="s">
        <v>33</v>
      </c>
      <c r="C24" s="12">
        <f>-Mortgage!D67</f>
        <v>0</v>
      </c>
      <c r="D24" s="12">
        <f>-Mortgage!D71</f>
        <v>0</v>
      </c>
      <c r="E24" s="12">
        <f>-Mortgage!D75</f>
        <v>0</v>
      </c>
      <c r="F24" s="12">
        <f>-Mortgage!D79</f>
        <v>0</v>
      </c>
      <c r="G24" s="13"/>
      <c r="H24" s="12"/>
      <c r="I24" s="12">
        <f>-Mortgage!E15</f>
        <v>0</v>
      </c>
      <c r="J24" s="12">
        <f>-Mortgage!F15</f>
        <v>0</v>
      </c>
      <c r="K24" s="12">
        <f>-Mortgage!G15</f>
        <v>0</v>
      </c>
      <c r="L24" s="12">
        <f>-Mortgage!H15</f>
        <v>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478" customFormat="1" ht="15.75" customHeight="1">
      <c r="A25" s="5"/>
      <c r="B25" s="8" t="s">
        <v>34</v>
      </c>
      <c r="C25" s="14">
        <f t="shared" ref="C25:F25" si="5">SUM(C23:C24)</f>
        <v>0</v>
      </c>
      <c r="D25" s="14">
        <f t="shared" si="5"/>
        <v>0</v>
      </c>
      <c r="E25" s="14">
        <f t="shared" si="5"/>
        <v>0</v>
      </c>
      <c r="F25" s="14">
        <f t="shared" si="5"/>
        <v>0</v>
      </c>
      <c r="G25" s="13"/>
      <c r="H25" s="14">
        <f t="shared" ref="H25:L25" si="6">SUM(H23:H24)</f>
        <v>0</v>
      </c>
      <c r="I25" s="14">
        <f t="shared" si="6"/>
        <v>-5203.5</v>
      </c>
      <c r="J25" s="14">
        <f t="shared" si="6"/>
        <v>-5203.5</v>
      </c>
      <c r="K25" s="14">
        <f t="shared" si="6"/>
        <v>-5203.5</v>
      </c>
      <c r="L25" s="14">
        <f t="shared" si="6"/>
        <v>-5203.5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</row>
    <row r="26" spans="1:47" s="478" customFormat="1" ht="15.75" customHeight="1">
      <c r="A26" s="5"/>
      <c r="B26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478" customFormat="1" ht="15.75" customHeight="1">
      <c r="A27" s="5"/>
      <c r="B27" s="8" t="s">
        <v>35</v>
      </c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478" customFormat="1" ht="15.75" customHeight="1">
      <c r="A28" s="5"/>
      <c r="B28" s="11" t="s">
        <v>393</v>
      </c>
      <c r="C28" s="12">
        <f>H28</f>
        <v>0</v>
      </c>
      <c r="D28" s="12"/>
      <c r="E28" s="12"/>
      <c r="F28" s="12"/>
      <c r="G28" s="1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478" customFormat="1" ht="15.75" customHeight="1">
      <c r="A29" s="5"/>
      <c r="B29" s="11" t="s">
        <v>36</v>
      </c>
      <c r="C29" s="12">
        <f>H29</f>
        <v>0</v>
      </c>
      <c r="D29" s="12"/>
      <c r="E29" s="12"/>
      <c r="F29" s="12"/>
      <c r="G29" s="13"/>
      <c r="H29" s="12">
        <f>-'Start Up Costs'!J7</f>
        <v>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478" customFormat="1" ht="15.75" customHeight="1">
      <c r="A30" s="5"/>
      <c r="B30" s="8" t="s">
        <v>37</v>
      </c>
      <c r="C30" s="14">
        <f t="shared" ref="C30:F30" si="7">SUM(C28:C29)</f>
        <v>0</v>
      </c>
      <c r="D30" s="14">
        <f t="shared" si="7"/>
        <v>0</v>
      </c>
      <c r="E30" s="14">
        <f t="shared" si="7"/>
        <v>0</v>
      </c>
      <c r="F30" s="14">
        <f t="shared" si="7"/>
        <v>0</v>
      </c>
      <c r="G30" s="13"/>
      <c r="H30" s="14">
        <f t="shared" ref="H30:L30" si="8">SUM(H28:H29)</f>
        <v>0</v>
      </c>
      <c r="I30" s="14">
        <f t="shared" si="8"/>
        <v>0</v>
      </c>
      <c r="J30" s="14">
        <f t="shared" si="8"/>
        <v>0</v>
      </c>
      <c r="K30" s="14">
        <f t="shared" si="8"/>
        <v>0</v>
      </c>
      <c r="L30" s="14">
        <f t="shared" si="8"/>
        <v>0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</row>
    <row r="31" spans="1:47" s="478" customFormat="1" ht="15.75" customHeight="1">
      <c r="A31" s="5"/>
      <c r="B31"/>
      <c r="C31" s="12"/>
      <c r="D31" s="12"/>
      <c r="E31" s="12"/>
      <c r="F31" s="12"/>
      <c r="G31" s="13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478" customFormat="1" ht="15.75" customHeight="1">
      <c r="A32" s="5"/>
      <c r="B32" s="195" t="s">
        <v>27</v>
      </c>
      <c r="C32" s="14">
        <f>C20+C25+C30</f>
        <v>-7477.0583999999999</v>
      </c>
      <c r="D32" s="14">
        <f t="shared" ref="D32:L32" si="9">D20+D25+D30</f>
        <v>1972.9416000000001</v>
      </c>
      <c r="E32" s="14">
        <f t="shared" si="9"/>
        <v>1972.9416000000001</v>
      </c>
      <c r="F32" s="14">
        <f t="shared" si="9"/>
        <v>1972.9416000000001</v>
      </c>
      <c r="G32" s="13"/>
      <c r="H32" s="14">
        <f t="shared" si="9"/>
        <v>-1558.2335999999996</v>
      </c>
      <c r="I32" s="14">
        <f t="shared" ca="1" si="9"/>
        <v>3192.5085912000031</v>
      </c>
      <c r="J32" s="14">
        <f t="shared" ca="1" si="9"/>
        <v>3563.3150582136022</v>
      </c>
      <c r="K32" s="14">
        <f t="shared" ca="1" si="9"/>
        <v>3953.0002134098831</v>
      </c>
      <c r="L32" s="14">
        <f t="shared" ca="1" si="9"/>
        <v>4362.3488837789628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</row>
    <row r="33" spans="1:47" s="478" customFormat="1" ht="15.75" customHeight="1">
      <c r="A33" s="5"/>
      <c r="B33" s="146" t="s">
        <v>39</v>
      </c>
      <c r="C33" s="12">
        <f ca="1">Tax!C17</f>
        <v>0</v>
      </c>
      <c r="D33" s="12">
        <f ca="1">Tax!D17</f>
        <v>0</v>
      </c>
      <c r="E33" s="12">
        <f ca="1">Tax!E17</f>
        <v>0</v>
      </c>
      <c r="F33" s="12">
        <f ca="1">Tax!F17</f>
        <v>0</v>
      </c>
      <c r="G33" s="13"/>
      <c r="H33" s="12">
        <f ca="1">Tax!H17</f>
        <v>0</v>
      </c>
      <c r="I33" s="12">
        <f ca="1">Tax!I17</f>
        <v>0</v>
      </c>
      <c r="J33" s="12">
        <f ca="1">Tax!J17</f>
        <v>0</v>
      </c>
      <c r="K33" s="12">
        <f ca="1">Tax!K17</f>
        <v>0</v>
      </c>
      <c r="L33" s="12">
        <f ca="1">Tax!L17</f>
        <v>-34.125104521132378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478" customFormat="1" ht="15.75" customHeight="1">
      <c r="A34" s="5"/>
      <c r="B34" s="487" t="s">
        <v>38</v>
      </c>
      <c r="C34" s="488">
        <f t="shared" ref="C34:F34" ca="1" si="10">SUM(C32:C33)</f>
        <v>-7477.0583999999999</v>
      </c>
      <c r="D34" s="488">
        <f t="shared" ca="1" si="10"/>
        <v>1972.9416000000001</v>
      </c>
      <c r="E34" s="488">
        <f t="shared" ca="1" si="10"/>
        <v>1972.9416000000001</v>
      </c>
      <c r="F34" s="488">
        <f t="shared" ca="1" si="10"/>
        <v>1972.9416000000001</v>
      </c>
      <c r="G34" s="13"/>
      <c r="H34" s="488">
        <f ca="1">SUM(C34:F34)</f>
        <v>-1558.2335999999996</v>
      </c>
      <c r="I34" s="488">
        <f t="shared" ref="I34:L34" ca="1" si="11">SUM(I32:I33)</f>
        <v>3192.5085912000031</v>
      </c>
      <c r="J34" s="488">
        <f t="shared" ca="1" si="11"/>
        <v>3563.3150582136022</v>
      </c>
      <c r="K34" s="488">
        <f t="shared" ca="1" si="11"/>
        <v>3953.0002134098831</v>
      </c>
      <c r="L34" s="488">
        <f t="shared" ca="1" si="11"/>
        <v>4328.2237792578308</v>
      </c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  <c r="AK34" s="488"/>
      <c r="AL34" s="488"/>
      <c r="AM34" s="488"/>
      <c r="AN34" s="488"/>
      <c r="AO34" s="488"/>
      <c r="AP34" s="488"/>
      <c r="AQ34" s="488"/>
      <c r="AR34" s="488"/>
      <c r="AS34" s="488"/>
      <c r="AT34" s="488"/>
      <c r="AU34" s="488"/>
    </row>
    <row r="35" spans="1:47" s="478" customFormat="1" ht="15.75" customHeight="1">
      <c r="A35" s="5"/>
      <c r="B35" s="477"/>
      <c r="C35" s="12"/>
      <c r="D35" s="12"/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ht="15.75" customHeight="1">
      <c r="A36" s="5"/>
      <c r="B36" s="195" t="s">
        <v>340</v>
      </c>
      <c r="C36" s="12"/>
      <c r="D36" s="12"/>
      <c r="E36" s="12"/>
      <c r="F36" s="12"/>
      <c r="G36" s="1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ht="15.75" customHeight="1">
      <c r="A37" s="5"/>
      <c r="B37" s="481" t="str">
        <f>'Start Up Costs'!D4</f>
        <v>Land &amp; Buildings</v>
      </c>
      <c r="C37" s="12">
        <f ca="1">H37/4</f>
        <v>-375</v>
      </c>
      <c r="D37" s="12">
        <f ca="1">C37</f>
        <v>-375</v>
      </c>
      <c r="E37" s="12">
        <f t="shared" ref="E37:F37" ca="1" si="12">D37</f>
        <v>-375</v>
      </c>
      <c r="F37" s="12">
        <f t="shared" ca="1" si="12"/>
        <v>-375</v>
      </c>
      <c r="G37" s="13"/>
      <c r="H37" s="12">
        <f ca="1">-'Start Up Costs'!F4</f>
        <v>-1500</v>
      </c>
      <c r="I37" s="12">
        <f ca="1">'Balance Sheet'!I5-'Balance Sheet'!H5</f>
        <v>-1500</v>
      </c>
      <c r="J37" s="12">
        <f ca="1">'Balance Sheet'!J5-'Balance Sheet'!I5</f>
        <v>-1500</v>
      </c>
      <c r="K37" s="12">
        <f ca="1">'Balance Sheet'!K5-'Balance Sheet'!J5</f>
        <v>-1500</v>
      </c>
      <c r="L37" s="12">
        <f ca="1">'Balance Sheet'!L5-'Balance Sheet'!K5</f>
        <v>-1500</v>
      </c>
      <c r="M37" s="12">
        <f ca="1">IF(M2&lt;='Start Up Costs'!$E$4,L37,0)</f>
        <v>-1500</v>
      </c>
      <c r="N37" s="12">
        <f ca="1">IF(N2&lt;='Start Up Costs'!$E$4,M37,0)</f>
        <v>-1500</v>
      </c>
      <c r="O37" s="12">
        <f ca="1">IF(O2&lt;='Start Up Costs'!$E$4,N37,0)</f>
        <v>-1500</v>
      </c>
      <c r="P37" s="12">
        <f ca="1">IF(P2&lt;='Start Up Costs'!$E$4,O37,0)</f>
        <v>-1500</v>
      </c>
      <c r="Q37" s="12">
        <f ca="1">IF(Q2&lt;='Start Up Costs'!$E$4,P37,0)</f>
        <v>-1500</v>
      </c>
      <c r="R37" s="12">
        <f ca="1">IF(R2&lt;='Start Up Costs'!$E$4,Q37,0)</f>
        <v>-1500</v>
      </c>
      <c r="S37" s="12">
        <f ca="1">IF(S2&lt;='Start Up Costs'!$E$4,R37,0)</f>
        <v>-1500</v>
      </c>
      <c r="T37" s="12">
        <f ca="1">IF(T2&lt;='Start Up Costs'!$E$4,S37,0)</f>
        <v>-1500</v>
      </c>
      <c r="U37" s="12">
        <f ca="1">IF(U2&lt;='Start Up Costs'!$E$4,T37,0)</f>
        <v>-1500</v>
      </c>
      <c r="V37" s="12">
        <f ca="1">IF(V2&lt;='Start Up Costs'!$E$4,U37,0)</f>
        <v>-1500</v>
      </c>
      <c r="W37" s="12">
        <f ca="1">IF(W2&lt;='Start Up Costs'!$E$4,V37,0)</f>
        <v>-1500</v>
      </c>
      <c r="X37" s="12">
        <f ca="1">IF(X2&lt;='Start Up Costs'!$E$4,W37,0)</f>
        <v>-1500</v>
      </c>
      <c r="Y37" s="12">
        <f ca="1">IF(Y2&lt;='Start Up Costs'!$E$4,X37,0)</f>
        <v>-1500</v>
      </c>
      <c r="Z37" s="12">
        <f ca="1">IF(Z2&lt;='Start Up Costs'!$E$4,Y37,0)</f>
        <v>-1500</v>
      </c>
      <c r="AA37" s="12">
        <f ca="1">IF(AA2&lt;='Start Up Costs'!$E$4,Z37,0)</f>
        <v>-1500</v>
      </c>
      <c r="AB37" s="12">
        <f ca="1">IF(AB2&lt;='Start Up Costs'!$E$4,AA37,0)</f>
        <v>-1500</v>
      </c>
      <c r="AC37" s="12">
        <f ca="1">IF(AC2&lt;='Start Up Costs'!$E$4,AB37,0)</f>
        <v>-1500</v>
      </c>
      <c r="AD37" s="12">
        <f ca="1">IF(AD2&lt;='Start Up Costs'!$E$4,AC37,0)</f>
        <v>-1500</v>
      </c>
      <c r="AE37" s="12">
        <f ca="1">IF(AE2&lt;='Start Up Costs'!$E$4,AD37,0)</f>
        <v>-1500</v>
      </c>
      <c r="AF37" s="12">
        <f ca="1">IF(AF2&lt;='Start Up Costs'!$E$4,AE37,0)</f>
        <v>-1500</v>
      </c>
      <c r="AG37" s="12">
        <f ca="1">IF(AG2&lt;='Start Up Costs'!$E$4,AF37,0)</f>
        <v>-1500</v>
      </c>
      <c r="AH37" s="12">
        <f ca="1">IF(AH2&lt;='Start Up Costs'!$E$4,AG37,0)</f>
        <v>-1500</v>
      </c>
      <c r="AI37" s="12">
        <f ca="1">IF(AI2&lt;='Start Up Costs'!$E$4,AH37,0)</f>
        <v>-1500</v>
      </c>
      <c r="AJ37" s="12">
        <f ca="1">IF(AJ2&lt;='Start Up Costs'!$E$4,AI37,0)</f>
        <v>-1500</v>
      </c>
      <c r="AK37" s="12">
        <f ca="1">IF(AK2&lt;='Start Up Costs'!$E$4,AJ37,0)</f>
        <v>-1500</v>
      </c>
      <c r="AL37" s="12">
        <f ca="1">IF(AL2&lt;='Start Up Costs'!$E$4,AK37,0)</f>
        <v>-1500</v>
      </c>
      <c r="AM37" s="12">
        <f ca="1">IF(AM2&lt;='Start Up Costs'!$E$4,AL37,0)</f>
        <v>-1500</v>
      </c>
      <c r="AN37" s="12">
        <f ca="1">IF(AN2&lt;='Start Up Costs'!$E$4,AM37,0)</f>
        <v>-1500</v>
      </c>
      <c r="AO37" s="12">
        <f ca="1">IF(AO2&lt;='Start Up Costs'!$E$4,AN37,0)</f>
        <v>-1500</v>
      </c>
      <c r="AP37" s="12">
        <f ca="1">IF(AP2&lt;='Start Up Costs'!$E$4,AO37,0)</f>
        <v>-1500</v>
      </c>
      <c r="AQ37" s="12">
        <f ca="1">IF(AQ2&lt;='Start Up Costs'!$E$4,AP37,0)</f>
        <v>-1500</v>
      </c>
      <c r="AR37" s="12">
        <f ca="1">IF(AR2&lt;='Start Up Costs'!$E$4,AQ37,0)</f>
        <v>-1500</v>
      </c>
      <c r="AS37" s="12">
        <f ca="1">IF(AS2&lt;='Start Up Costs'!$E$4,AR37,0)</f>
        <v>-1500</v>
      </c>
      <c r="AT37" s="12">
        <f ca="1">IF(AT2&lt;='Start Up Costs'!$E$4,AS37,0)</f>
        <v>-1500</v>
      </c>
      <c r="AU37" s="12">
        <f ca="1">IF(AU2&lt;='Start Up Costs'!$E$4,AT37,0)</f>
        <v>-1500</v>
      </c>
    </row>
    <row r="38" spans="1:47" ht="15.75" customHeight="1">
      <c r="A38" s="5"/>
      <c r="B38" s="481" t="str">
        <f>'Start Up Costs'!D5</f>
        <v>Fixtures and Fittings</v>
      </c>
      <c r="C38" s="560">
        <f ca="1">H38/4</f>
        <v>-41.666666666666664</v>
      </c>
      <c r="D38" s="560">
        <f ca="1">C38</f>
        <v>-41.666666666666664</v>
      </c>
      <c r="E38" s="560">
        <f t="shared" ref="E38:F38" ca="1" si="13">D38</f>
        <v>-41.666666666666664</v>
      </c>
      <c r="F38" s="560">
        <f t="shared" ca="1" si="13"/>
        <v>-41.666666666666664</v>
      </c>
      <c r="G38" s="13"/>
      <c r="H38" s="560">
        <f ca="1">-'Start Up Costs'!F5</f>
        <v>-166.66666666666666</v>
      </c>
      <c r="I38" s="560">
        <f ca="1">'Balance Sheet'!I8-'Balance Sheet'!H8</f>
        <v>-166.66666666666697</v>
      </c>
      <c r="J38" s="560">
        <f ca="1">'Balance Sheet'!J8-'Balance Sheet'!I8</f>
        <v>-166.66666666666697</v>
      </c>
      <c r="K38" s="560">
        <f ca="1">'Balance Sheet'!K8-'Balance Sheet'!J8</f>
        <v>-166.66666666666697</v>
      </c>
      <c r="L38" s="560">
        <f ca="1">'Balance Sheet'!L8-'Balance Sheet'!K8</f>
        <v>-166.66666666666697</v>
      </c>
      <c r="M38" s="560">
        <f ca="1">IF(M2&lt;='Start Up Costs'!$E$5,L38,0)</f>
        <v>-166.66666666666697</v>
      </c>
      <c r="N38" s="560">
        <f ca="1">IF(N2&lt;='Start Up Costs'!$E$5,M38,0)</f>
        <v>-166.66666666666697</v>
      </c>
      <c r="O38" s="560">
        <f ca="1">IF(O2&lt;='Start Up Costs'!$E$5,N38,0)</f>
        <v>-166.66666666666697</v>
      </c>
      <c r="P38" s="560">
        <f ca="1">IF(P2&lt;='Start Up Costs'!$E$5,O38,0)</f>
        <v>-166.66666666666697</v>
      </c>
      <c r="Q38" s="560">
        <f ca="1">IF(Q2&lt;='Start Up Costs'!$E$5,P38,0)</f>
        <v>-166.66666666666697</v>
      </c>
      <c r="R38" s="560">
        <f ca="1">IF(R2&lt;='Start Up Costs'!$E$5,Q38,0)</f>
        <v>-166.66666666666697</v>
      </c>
      <c r="S38" s="560">
        <f ca="1">IF(S2&lt;='Start Up Costs'!$E$5,R38,0)</f>
        <v>-166.66666666666697</v>
      </c>
      <c r="T38" s="560">
        <f ca="1">IF(T2&lt;='Start Up Costs'!$E$5,S38,0)</f>
        <v>-166.66666666666697</v>
      </c>
      <c r="U38" s="560">
        <f ca="1">IF(U2&lt;='Start Up Costs'!$E$5,T38,0)</f>
        <v>-166.66666666666697</v>
      </c>
      <c r="V38" s="560">
        <f ca="1">IF(V2&lt;='Start Up Costs'!$E$5,U38,0)</f>
        <v>-166.66666666666697</v>
      </c>
      <c r="W38" s="560">
        <f ca="1">IF(W2&lt;='Start Up Costs'!$E$5,V38,0)</f>
        <v>-166.66666666666697</v>
      </c>
      <c r="X38" s="560">
        <f ca="1">IF(X2&lt;='Start Up Costs'!$E$5,W38,0)</f>
        <v>-166.66666666666697</v>
      </c>
      <c r="Y38" s="560">
        <f ca="1">IF(Y2&lt;='Start Up Costs'!$E$5,X38,0)</f>
        <v>-166.66666666666697</v>
      </c>
      <c r="Z38" s="560">
        <f ca="1">IF(Z2&lt;='Start Up Costs'!$E$5,Y38,0)</f>
        <v>-166.66666666666697</v>
      </c>
      <c r="AA38" s="560">
        <f ca="1">IF(AA2&lt;='Start Up Costs'!$E$5,Z38,0)</f>
        <v>-166.66666666666697</v>
      </c>
      <c r="AB38" s="560">
        <f ca="1">IF(AB2&lt;='Start Up Costs'!$E$5,AA38,0)</f>
        <v>-166.66666666666697</v>
      </c>
      <c r="AC38" s="560">
        <f ca="1">IF(AC2&lt;='Start Up Costs'!$E$5,AB38,0)</f>
        <v>-166.66666666666697</v>
      </c>
      <c r="AD38" s="560">
        <f ca="1">IF(AD2&lt;='Start Up Costs'!$E$5,AC38,0)</f>
        <v>-166.66666666666697</v>
      </c>
      <c r="AE38" s="560">
        <f ca="1">IF(AE2&lt;='Start Up Costs'!$E$5,AD38,0)</f>
        <v>-166.66666666666697</v>
      </c>
      <c r="AF38" s="560">
        <f ca="1">IF(AF2&lt;='Start Up Costs'!$E$5,AE38,0)</f>
        <v>-166.66666666666697</v>
      </c>
      <c r="AG38" s="560">
        <f ca="1">IF(AG2&lt;='Start Up Costs'!$E$5,AF38,0)</f>
        <v>-166.66666666666697</v>
      </c>
      <c r="AH38" s="560">
        <f ca="1">IF(AH2&lt;='Start Up Costs'!$E$5,AG38,0)</f>
        <v>-166.66666666666697</v>
      </c>
      <c r="AI38" s="560">
        <f ca="1">IF(AI2&lt;='Start Up Costs'!$E$5,AH38,0)</f>
        <v>-166.66666666666697</v>
      </c>
      <c r="AJ38" s="560">
        <f ca="1">IF(AJ2&lt;='Start Up Costs'!$E$5,AI38,0)</f>
        <v>-166.66666666666697</v>
      </c>
      <c r="AK38" s="560">
        <f ca="1">IF(AK2&lt;='Start Up Costs'!$E$5,AJ38,0)</f>
        <v>-166.66666666666697</v>
      </c>
      <c r="AL38" s="560">
        <f>IF(AL2&lt;='Start Up Costs'!$E$5,AK38,0)</f>
        <v>0</v>
      </c>
      <c r="AM38" s="560">
        <f>IF(AM2&lt;='Start Up Costs'!$E$5,AL38,0)</f>
        <v>0</v>
      </c>
      <c r="AN38" s="560">
        <f>IF(AN2&lt;='Start Up Costs'!$E$5,AM38,0)</f>
        <v>0</v>
      </c>
      <c r="AO38" s="560">
        <f>IF(AO2&lt;='Start Up Costs'!$E$5,AN38,0)</f>
        <v>0</v>
      </c>
      <c r="AP38" s="560">
        <f>IF(AP2&lt;='Start Up Costs'!$E$5,AO38,0)</f>
        <v>0</v>
      </c>
      <c r="AQ38" s="560">
        <f>IF(AQ2&lt;='Start Up Costs'!$E$5,AP38,0)</f>
        <v>0</v>
      </c>
      <c r="AR38" s="560">
        <f>IF(AR2&lt;='Start Up Costs'!$E$5,AQ38,0)</f>
        <v>0</v>
      </c>
      <c r="AS38" s="560">
        <f>IF(AS2&lt;='Start Up Costs'!$E$5,AR38,0)</f>
        <v>0</v>
      </c>
      <c r="AT38" s="560">
        <f>IF(AT2&lt;='Start Up Costs'!$E$5,AS38,0)</f>
        <v>0</v>
      </c>
      <c r="AU38" s="560">
        <f>IF(AU2&lt;='Start Up Costs'!$E$5,AT38,0)</f>
        <v>0</v>
      </c>
    </row>
    <row r="39" spans="1:47" ht="15.75" customHeight="1">
      <c r="A39" s="5"/>
      <c r="B39" s="481" t="s">
        <v>350</v>
      </c>
      <c r="C39" s="12">
        <f ca="1">C38+C37</f>
        <v>-416.66666666666669</v>
      </c>
      <c r="D39" s="12">
        <f t="shared" ref="D39:F39" ca="1" si="14">D38+D37</f>
        <v>-416.66666666666669</v>
      </c>
      <c r="E39" s="12">
        <f t="shared" ca="1" si="14"/>
        <v>-416.66666666666669</v>
      </c>
      <c r="F39" s="12">
        <f t="shared" ca="1" si="14"/>
        <v>-416.66666666666669</v>
      </c>
      <c r="G39" s="13"/>
      <c r="H39" s="12">
        <f ca="1">SUM(C39:G39)</f>
        <v>-1666.6666666666667</v>
      </c>
      <c r="I39" s="12">
        <f ca="1">I38+I37</f>
        <v>-1666.666666666667</v>
      </c>
      <c r="J39" s="12">
        <f t="shared" ref="J39:M39" ca="1" si="15">J38+J37</f>
        <v>-1666.666666666667</v>
      </c>
      <c r="K39" s="12">
        <f t="shared" ca="1" si="15"/>
        <v>-1666.666666666667</v>
      </c>
      <c r="L39" s="12">
        <f t="shared" ca="1" si="15"/>
        <v>-1666.666666666667</v>
      </c>
      <c r="M39" s="12">
        <f t="shared" ca="1" si="15"/>
        <v>-1666.666666666667</v>
      </c>
      <c r="N39" s="12">
        <f t="shared" ref="N39" ca="1" si="16">N38+N37</f>
        <v>-1666.666666666667</v>
      </c>
      <c r="O39" s="12">
        <f t="shared" ref="O39" ca="1" si="17">O38+O37</f>
        <v>-1666.666666666667</v>
      </c>
      <c r="P39" s="12">
        <f t="shared" ref="P39" ca="1" si="18">P38+P37</f>
        <v>-1666.666666666667</v>
      </c>
      <c r="Q39" s="12">
        <f t="shared" ref="Q39" ca="1" si="19">Q38+Q37</f>
        <v>-1666.666666666667</v>
      </c>
      <c r="R39" s="12">
        <f t="shared" ref="R39" ca="1" si="20">R38+R37</f>
        <v>-1666.666666666667</v>
      </c>
      <c r="S39" s="12">
        <f t="shared" ref="S39" ca="1" si="21">S38+S37</f>
        <v>-1666.666666666667</v>
      </c>
      <c r="T39" s="12">
        <f t="shared" ref="T39" ca="1" si="22">T38+T37</f>
        <v>-1666.666666666667</v>
      </c>
      <c r="U39" s="12">
        <f t="shared" ref="U39" ca="1" si="23">U38+U37</f>
        <v>-1666.666666666667</v>
      </c>
      <c r="V39" s="12">
        <f t="shared" ref="V39" ca="1" si="24">V38+V37</f>
        <v>-1666.666666666667</v>
      </c>
      <c r="W39" s="12">
        <f t="shared" ref="W39" ca="1" si="25">W38+W37</f>
        <v>-1666.666666666667</v>
      </c>
      <c r="X39" s="12">
        <f t="shared" ref="X39" ca="1" si="26">X38+X37</f>
        <v>-1666.666666666667</v>
      </c>
      <c r="Y39" s="12">
        <f t="shared" ref="Y39" ca="1" si="27">Y38+Y37</f>
        <v>-1666.666666666667</v>
      </c>
      <c r="Z39" s="12">
        <f t="shared" ref="Z39" ca="1" si="28">Z38+Z37</f>
        <v>-1666.666666666667</v>
      </c>
      <c r="AA39" s="12">
        <f t="shared" ref="AA39" ca="1" si="29">AA38+AA37</f>
        <v>-1666.666666666667</v>
      </c>
      <c r="AB39" s="12">
        <f t="shared" ref="AB39" ca="1" si="30">AB38+AB37</f>
        <v>-1666.666666666667</v>
      </c>
      <c r="AC39" s="12">
        <f t="shared" ref="AC39" ca="1" si="31">AC38+AC37</f>
        <v>-1666.666666666667</v>
      </c>
      <c r="AD39" s="12">
        <f t="shared" ref="AD39" ca="1" si="32">AD38+AD37</f>
        <v>-1666.666666666667</v>
      </c>
      <c r="AE39" s="12">
        <f t="shared" ref="AE39" ca="1" si="33">AE38+AE37</f>
        <v>-1666.666666666667</v>
      </c>
      <c r="AF39" s="12">
        <f t="shared" ref="AF39" ca="1" si="34">AF38+AF37</f>
        <v>-1666.666666666667</v>
      </c>
      <c r="AG39" s="12">
        <f t="shared" ref="AG39" ca="1" si="35">AG38+AG37</f>
        <v>-1666.666666666667</v>
      </c>
      <c r="AH39" s="12">
        <f t="shared" ref="AH39" ca="1" si="36">AH38+AH37</f>
        <v>-1666.666666666667</v>
      </c>
      <c r="AI39" s="12">
        <f t="shared" ref="AI39" ca="1" si="37">AI38+AI37</f>
        <v>-1666.666666666667</v>
      </c>
      <c r="AJ39" s="12">
        <f t="shared" ref="AJ39" ca="1" si="38">AJ38+AJ37</f>
        <v>-1666.666666666667</v>
      </c>
      <c r="AK39" s="12">
        <f t="shared" ref="AK39" ca="1" si="39">AK38+AK37</f>
        <v>-1666.666666666667</v>
      </c>
      <c r="AL39" s="12">
        <f t="shared" ref="AL39" ca="1" si="40">AL38+AL37</f>
        <v>-1500</v>
      </c>
      <c r="AM39" s="12">
        <f t="shared" ref="AM39" ca="1" si="41">AM38+AM37</f>
        <v>-1500</v>
      </c>
      <c r="AN39" s="12">
        <f t="shared" ref="AN39" ca="1" si="42">AN38+AN37</f>
        <v>-1500</v>
      </c>
      <c r="AO39" s="12">
        <f t="shared" ref="AO39" ca="1" si="43">AO38+AO37</f>
        <v>-1500</v>
      </c>
      <c r="AP39" s="12">
        <f t="shared" ref="AP39" ca="1" si="44">AP38+AP37</f>
        <v>-1500</v>
      </c>
      <c r="AQ39" s="12">
        <f t="shared" ref="AQ39" ca="1" si="45">AQ38+AQ37</f>
        <v>-1500</v>
      </c>
      <c r="AR39" s="12">
        <f t="shared" ref="AR39" ca="1" si="46">AR38+AR37</f>
        <v>-1500</v>
      </c>
      <c r="AS39" s="12">
        <f t="shared" ref="AS39" ca="1" si="47">AS38+AS37</f>
        <v>-1500</v>
      </c>
      <c r="AT39" s="12">
        <f t="shared" ref="AT39" ca="1" si="48">AT38+AT37</f>
        <v>-1500</v>
      </c>
      <c r="AU39" s="12">
        <f t="shared" ref="AU39" ca="1" si="49">AU38+AU37</f>
        <v>-1500</v>
      </c>
    </row>
    <row r="40" spans="1:47" ht="15.75" customHeight="1">
      <c r="A40" s="5"/>
      <c r="B40" s="481" t="str">
        <f>'Start Up Costs'!D10</f>
        <v>Property Appreciation</v>
      </c>
      <c r="C40" s="12">
        <f>D40</f>
        <v>968.75</v>
      </c>
      <c r="D40" s="12">
        <f>E40</f>
        <v>968.75</v>
      </c>
      <c r="E40" s="12">
        <f>F40</f>
        <v>968.75</v>
      </c>
      <c r="F40" s="12">
        <f>H40/4</f>
        <v>968.75</v>
      </c>
      <c r="G40" s="5"/>
      <c r="H40" s="12">
        <f>'Balance Sheet'!H15</f>
        <v>3875</v>
      </c>
      <c r="I40" s="12">
        <f>'Balance Sheet'!I15</f>
        <v>3971.875</v>
      </c>
      <c r="J40" s="12">
        <f>'Balance Sheet'!J15</f>
        <v>4071.171875</v>
      </c>
      <c r="K40" s="12">
        <f>'Balance Sheet'!K15</f>
        <v>4172.9511718749709</v>
      </c>
      <c r="L40" s="12">
        <f>'Balance Sheet'!L15</f>
        <v>4277.2749511718575</v>
      </c>
      <c r="M40" s="12">
        <f>'Balance Sheet'!M15</f>
        <v>0</v>
      </c>
      <c r="N40" s="12">
        <f>'Balance Sheet'!N15</f>
        <v>0</v>
      </c>
      <c r="O40" s="12">
        <f>'Balance Sheet'!O15</f>
        <v>0</v>
      </c>
      <c r="P40" s="12">
        <f>'Balance Sheet'!P15</f>
        <v>0</v>
      </c>
      <c r="Q40" s="12">
        <f>'Balance Sheet'!Q15</f>
        <v>0</v>
      </c>
      <c r="R40" s="12">
        <f>'Balance Sheet'!R15</f>
        <v>0</v>
      </c>
      <c r="S40" s="12">
        <f>'Balance Sheet'!S15</f>
        <v>0</v>
      </c>
      <c r="T40" s="12">
        <f>'Balance Sheet'!T15</f>
        <v>0</v>
      </c>
      <c r="U40" s="12">
        <f>'Balance Sheet'!U15</f>
        <v>0</v>
      </c>
      <c r="V40" s="12">
        <f>'Balance Sheet'!V15</f>
        <v>0</v>
      </c>
      <c r="W40" s="12">
        <f>'Balance Sheet'!W15</f>
        <v>0</v>
      </c>
      <c r="X40" s="12">
        <f>'Balance Sheet'!X15</f>
        <v>0</v>
      </c>
      <c r="Y40" s="12">
        <f>'Balance Sheet'!Y15</f>
        <v>0</v>
      </c>
      <c r="Z40" s="12">
        <f>'Balance Sheet'!Z15</f>
        <v>0</v>
      </c>
      <c r="AA40" s="12">
        <f>'Balance Sheet'!AA15</f>
        <v>0</v>
      </c>
      <c r="AB40" s="12">
        <f>'Balance Sheet'!AB15</f>
        <v>0</v>
      </c>
      <c r="AC40" s="12">
        <f>'Balance Sheet'!AC15</f>
        <v>0</v>
      </c>
      <c r="AD40" s="12">
        <f>'Balance Sheet'!AD15</f>
        <v>0</v>
      </c>
      <c r="AE40" s="12">
        <f>'Balance Sheet'!AE15</f>
        <v>0</v>
      </c>
      <c r="AF40" s="12">
        <f>'Balance Sheet'!AF15</f>
        <v>0</v>
      </c>
      <c r="AG40" s="12">
        <f>'Balance Sheet'!AG15</f>
        <v>0</v>
      </c>
      <c r="AH40" s="12">
        <f>'Balance Sheet'!AH15</f>
        <v>0</v>
      </c>
      <c r="AI40" s="12">
        <f>'Balance Sheet'!AI15</f>
        <v>0</v>
      </c>
      <c r="AJ40" s="12">
        <f>'Balance Sheet'!AJ15</f>
        <v>0</v>
      </c>
      <c r="AK40" s="12">
        <f>'Balance Sheet'!AK15</f>
        <v>0</v>
      </c>
      <c r="AL40" s="12">
        <f>'Balance Sheet'!AL15</f>
        <v>0</v>
      </c>
      <c r="AM40" s="12">
        <f>'Balance Sheet'!AM15</f>
        <v>0</v>
      </c>
      <c r="AN40" s="12">
        <f>'Balance Sheet'!AN15</f>
        <v>0</v>
      </c>
      <c r="AO40" s="12">
        <f>'Balance Sheet'!AO15</f>
        <v>0</v>
      </c>
      <c r="AP40" s="12">
        <f>'Balance Sheet'!AP15</f>
        <v>0</v>
      </c>
      <c r="AQ40" s="12">
        <f>'Balance Sheet'!AQ15</f>
        <v>0</v>
      </c>
      <c r="AR40" s="12">
        <f>'Balance Sheet'!AR15</f>
        <v>0</v>
      </c>
      <c r="AS40" s="12">
        <f>'Balance Sheet'!AS15</f>
        <v>0</v>
      </c>
      <c r="AT40" s="12">
        <f>'Balance Sheet'!AT15</f>
        <v>0</v>
      </c>
      <c r="AU40" s="12">
        <f>'Balance Sheet'!AU15</f>
        <v>0</v>
      </c>
    </row>
    <row r="41" spans="1:47" ht="15.75" customHeight="1" thickBot="1">
      <c r="A41" s="5"/>
      <c r="B41" s="195" t="s">
        <v>338</v>
      </c>
      <c r="C41" s="14">
        <f ca="1">SUM(C39:C40)</f>
        <v>552.08333333333326</v>
      </c>
      <c r="D41" s="14">
        <f t="shared" ref="D41:F41" ca="1" si="50">SUM(D39:D40)</f>
        <v>552.08333333333326</v>
      </c>
      <c r="E41" s="14">
        <f t="shared" ca="1" si="50"/>
        <v>552.08333333333326</v>
      </c>
      <c r="F41" s="14">
        <f t="shared" ca="1" si="50"/>
        <v>552.08333333333326</v>
      </c>
      <c r="G41" s="5"/>
      <c r="H41" s="14">
        <f ca="1">SUM(H39:H40)</f>
        <v>2208.333333333333</v>
      </c>
      <c r="I41" s="14">
        <f t="shared" ref="I41:L41" ca="1" si="51">SUM(I39:I40)</f>
        <v>2305.208333333333</v>
      </c>
      <c r="J41" s="14">
        <f t="shared" ca="1" si="51"/>
        <v>2404.505208333333</v>
      </c>
      <c r="K41" s="14">
        <f t="shared" ca="1" si="51"/>
        <v>2506.2845052083039</v>
      </c>
      <c r="L41" s="14">
        <f t="shared" ca="1" si="51"/>
        <v>2610.6082845051906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</row>
    <row r="42" spans="1:47" ht="15.75" customHeight="1" thickTop="1">
      <c r="A42" s="5"/>
      <c r="B42" s="5"/>
      <c r="C42" s="17"/>
      <c r="D42" s="17"/>
      <c r="E42" s="17"/>
      <c r="F42" s="17"/>
      <c r="G42" s="13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ht="15.75" customHeight="1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47" ht="15.75" customHeight="1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47" ht="15.75" customHeight="1"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47" ht="15.75" customHeight="1"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47" ht="15.75" customHeight="1"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47" ht="15.75" customHeight="1"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3:12" ht="15.75" customHeight="1"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3:12" ht="15.75" customHeight="1"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3:12" ht="15.75" customHeight="1"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3:12" ht="15.75" customHeight="1"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3:12" ht="15.75" customHeight="1"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3:12" ht="15.75" customHeight="1"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3:12" ht="15.75" customHeight="1"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3:12" ht="12.75"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3:12" ht="12.75"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3:12" ht="12.75"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3:12" ht="12.75"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3:12" ht="12.75"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3:12" ht="12.75"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3:12" ht="12.75"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3:12" ht="12.75"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3:12" ht="12.75"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3:12" ht="12.75"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3:12" ht="12.75"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3:12" ht="12.75">
      <c r="C67" s="12"/>
      <c r="D67" s="12"/>
      <c r="E67" s="12"/>
      <c r="F67" s="12"/>
      <c r="G67" s="12"/>
      <c r="H67" s="12"/>
      <c r="I67" s="12"/>
      <c r="J67" s="12"/>
      <c r="K67" s="12"/>
      <c r="L67" s="12"/>
    </row>
  </sheetData>
  <pageMargins left="0.39370078740157483" right="0.39370078740157483" top="0.39370078740157483" bottom="0.39370078740157483" header="0.31496062992125984" footer="0.31496062992125984"/>
  <pageSetup paperSize="9" scale="1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94"/>
  <sheetViews>
    <sheetView topLeftCell="B1" zoomScale="80" zoomScaleNormal="80" workbookViewId="0">
      <selection activeCell="H22" sqref="H22"/>
    </sheetView>
  </sheetViews>
  <sheetFormatPr defaultColWidth="12.7109375" defaultRowHeight="15.75" customHeight="1"/>
  <cols>
    <col min="1" max="1" width="2.28515625" customWidth="1"/>
    <col min="2" max="2" width="35.7109375" customWidth="1"/>
    <col min="3" max="3" width="12.7109375" customWidth="1"/>
    <col min="7" max="7" width="2.28515625" customWidth="1"/>
    <col min="13" max="13" width="2.28515625" customWidth="1"/>
  </cols>
  <sheetData>
    <row r="1" spans="1:13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customHeight="1">
      <c r="A2" s="5"/>
      <c r="C2" s="6" t="str">
        <f>'P&amp;L'!C2</f>
        <v>Q1</v>
      </c>
      <c r="D2" s="6" t="str">
        <f>'P&amp;L'!D2</f>
        <v>Q2</v>
      </c>
      <c r="E2" s="6" t="str">
        <f>'P&amp;L'!E2</f>
        <v>Q3</v>
      </c>
      <c r="F2" s="6" t="str">
        <f>'P&amp;L'!F2</f>
        <v>Q4</v>
      </c>
      <c r="G2" s="7"/>
      <c r="H2" s="6" t="str">
        <f>'P&amp;L'!H2</f>
        <v>Year 1</v>
      </c>
      <c r="I2" s="6" t="str">
        <f>'P&amp;L'!I2</f>
        <v>Year 2</v>
      </c>
      <c r="J2" s="6" t="str">
        <f>'P&amp;L'!J2</f>
        <v>Year 3</v>
      </c>
      <c r="K2" s="6" t="str">
        <f>'P&amp;L'!K2</f>
        <v>Year 4</v>
      </c>
      <c r="L2" s="6" t="str">
        <f>'P&amp;L'!L2</f>
        <v>Year 5</v>
      </c>
      <c r="M2" s="5"/>
    </row>
    <row r="3" spans="1:13" ht="15.75" customHeight="1">
      <c r="A3" s="5"/>
      <c r="C3" s="6" t="str">
        <f>'P&amp;L'!C3</f>
        <v>(£)</v>
      </c>
      <c r="D3" s="6" t="str">
        <f>'P&amp;L'!D3</f>
        <v>(£)</v>
      </c>
      <c r="E3" s="6" t="str">
        <f>'P&amp;L'!E3</f>
        <v>(£)</v>
      </c>
      <c r="F3" s="6" t="str">
        <f>'P&amp;L'!F3</f>
        <v>(£)</v>
      </c>
      <c r="G3" s="7"/>
      <c r="H3" s="6" t="str">
        <f>'P&amp;L'!H3</f>
        <v>(£)</v>
      </c>
      <c r="I3" s="6" t="str">
        <f>'P&amp;L'!I3</f>
        <v>(£)</v>
      </c>
      <c r="J3" s="6" t="str">
        <f>'P&amp;L'!J3</f>
        <v>(£)</v>
      </c>
      <c r="K3" s="6" t="str">
        <f>'P&amp;L'!K3</f>
        <v>(£)</v>
      </c>
      <c r="L3" s="6" t="str">
        <f>'P&amp;L'!L3</f>
        <v>(£)</v>
      </c>
      <c r="M3" s="5"/>
    </row>
    <row r="4" spans="1:13" ht="15.75" customHeight="1">
      <c r="A4" s="5"/>
      <c r="B4" s="8" t="s">
        <v>40</v>
      </c>
      <c r="G4" s="5"/>
      <c r="M4" s="5"/>
    </row>
    <row r="5" spans="1:13" ht="15.75" customHeight="1">
      <c r="A5" s="5"/>
      <c r="B5" s="11" t="s">
        <v>38</v>
      </c>
      <c r="C5" s="12">
        <f>'P&amp;L'!C20</f>
        <v>-7477.0583999999999</v>
      </c>
      <c r="D5" s="12">
        <f>'P&amp;L'!D20</f>
        <v>1972.9416000000001</v>
      </c>
      <c r="E5" s="12">
        <f>'P&amp;L'!E20</f>
        <v>1972.9416000000001</v>
      </c>
      <c r="F5" s="12">
        <f>'P&amp;L'!F20</f>
        <v>1972.9416000000001</v>
      </c>
      <c r="G5" s="13"/>
      <c r="H5" s="12">
        <f>'P&amp;L'!H20</f>
        <v>-1558.2335999999996</v>
      </c>
      <c r="I5" s="12">
        <f ca="1">'P&amp;L'!I20</f>
        <v>8396.0085912000031</v>
      </c>
      <c r="J5" s="12">
        <f ca="1">'P&amp;L'!J20</f>
        <v>8766.8150582136022</v>
      </c>
      <c r="K5" s="12">
        <f ca="1">'P&amp;L'!K20</f>
        <v>9156.5002134098831</v>
      </c>
      <c r="L5" s="12">
        <f ca="1">'P&amp;L'!L20</f>
        <v>9565.8488837789628</v>
      </c>
      <c r="M5" s="5"/>
    </row>
    <row r="6" spans="1:13" ht="15.75" customHeight="1">
      <c r="A6" s="5"/>
      <c r="B6" s="16" t="s">
        <v>41</v>
      </c>
      <c r="C6" s="12"/>
      <c r="D6" s="12"/>
      <c r="E6" s="12"/>
      <c r="F6" s="12"/>
      <c r="G6" s="13"/>
      <c r="H6" s="12"/>
      <c r="I6" s="12"/>
      <c r="J6" s="12"/>
      <c r="K6" s="12"/>
      <c r="L6" s="12"/>
      <c r="M6" s="5"/>
    </row>
    <row r="7" spans="1:13" ht="15.75" customHeight="1">
      <c r="A7" s="5"/>
      <c r="B7" s="11" t="s">
        <v>43</v>
      </c>
      <c r="C7" s="12">
        <f ca="1">-'P&amp;L'!C33</f>
        <v>0</v>
      </c>
      <c r="D7" s="12">
        <f ca="1">-'P&amp;L'!D33</f>
        <v>0</v>
      </c>
      <c r="E7" s="12">
        <f ca="1">-'P&amp;L'!E33</f>
        <v>0</v>
      </c>
      <c r="F7" s="12">
        <f ca="1">-'P&amp;L'!F33</f>
        <v>0</v>
      </c>
      <c r="G7" s="13"/>
      <c r="H7" s="12">
        <f ca="1">-'P&amp;L'!H33</f>
        <v>0</v>
      </c>
      <c r="I7" s="12">
        <f ca="1">-'P&amp;L'!I33</f>
        <v>0</v>
      </c>
      <c r="J7" s="12">
        <f ca="1">-'P&amp;L'!J33</f>
        <v>0</v>
      </c>
      <c r="K7" s="12">
        <f ca="1">-'P&amp;L'!K33</f>
        <v>0</v>
      </c>
      <c r="L7" s="12">
        <f ca="1">-'P&amp;L'!L33</f>
        <v>34.125104521132378</v>
      </c>
      <c r="M7" s="5"/>
    </row>
    <row r="8" spans="1:13" ht="15.75" customHeight="1">
      <c r="A8" s="5"/>
      <c r="B8" s="11" t="s">
        <v>44</v>
      </c>
      <c r="C8" s="12">
        <f>-'P&amp;L'!C23</f>
        <v>0</v>
      </c>
      <c r="D8" s="12">
        <f>-'P&amp;L'!D23</f>
        <v>0</v>
      </c>
      <c r="E8" s="12">
        <f>-'P&amp;L'!E23</f>
        <v>0</v>
      </c>
      <c r="F8" s="12">
        <f>-'P&amp;L'!F23</f>
        <v>0</v>
      </c>
      <c r="G8" s="13"/>
      <c r="H8" s="12">
        <f>-'P&amp;L'!H23</f>
        <v>0</v>
      </c>
      <c r="I8" s="12">
        <f>-'P&amp;L'!I23</f>
        <v>5203.5</v>
      </c>
      <c r="J8" s="12">
        <f>-'P&amp;L'!J23</f>
        <v>5203.5</v>
      </c>
      <c r="K8" s="12">
        <f>-'P&amp;L'!K23</f>
        <v>5203.5</v>
      </c>
      <c r="L8" s="12">
        <f>-'P&amp;L'!L23</f>
        <v>5203.5</v>
      </c>
      <c r="M8" s="5"/>
    </row>
    <row r="9" spans="1:13" ht="15.75" customHeight="1">
      <c r="A9" s="5"/>
      <c r="B9" s="11" t="s">
        <v>45</v>
      </c>
      <c r="C9" s="12">
        <v>0</v>
      </c>
      <c r="D9" s="12">
        <v>0</v>
      </c>
      <c r="E9" s="12">
        <v>0</v>
      </c>
      <c r="F9" s="12">
        <v>0</v>
      </c>
      <c r="G9" s="13"/>
      <c r="H9" s="12">
        <f t="shared" ref="H9:H10" si="0">SUM(C9:F9)</f>
        <v>0</v>
      </c>
      <c r="I9" s="12">
        <v>0</v>
      </c>
      <c r="J9" s="12">
        <v>0</v>
      </c>
      <c r="K9" s="12">
        <v>0</v>
      </c>
      <c r="L9" s="12">
        <v>0</v>
      </c>
      <c r="M9" s="5"/>
    </row>
    <row r="10" spans="1:13" ht="15.75" customHeight="1">
      <c r="A10" s="5"/>
      <c r="B10" s="11" t="s">
        <v>46</v>
      </c>
      <c r="C10" s="12">
        <f>Mortgage!F3</f>
        <v>0</v>
      </c>
      <c r="D10" s="12">
        <v>0</v>
      </c>
      <c r="E10" s="12">
        <v>0</v>
      </c>
      <c r="F10" s="12">
        <v>0</v>
      </c>
      <c r="G10" s="13"/>
      <c r="H10" s="12">
        <f t="shared" si="0"/>
        <v>0</v>
      </c>
      <c r="I10" s="12">
        <v>0</v>
      </c>
      <c r="J10" s="12">
        <v>0</v>
      </c>
      <c r="K10" s="12">
        <v>0</v>
      </c>
      <c r="L10" s="12">
        <v>0</v>
      </c>
      <c r="M10" s="5"/>
    </row>
    <row r="11" spans="1:13" ht="15.75" customHeight="1">
      <c r="A11" s="5"/>
      <c r="B11" s="11" t="s">
        <v>47</v>
      </c>
      <c r="C11" s="12">
        <f>-'Balance Sheet'!C29-C15</f>
        <v>0</v>
      </c>
      <c r="D11" s="12">
        <f>-'Balance Sheet'!D29-C15</f>
        <v>0</v>
      </c>
      <c r="E11" s="12">
        <f>-'Balance Sheet'!E29</f>
        <v>0</v>
      </c>
      <c r="F11" s="12">
        <f>-'Balance Sheet'!F29</f>
        <v>0</v>
      </c>
      <c r="G11" s="13"/>
      <c r="H11" s="12">
        <f>-'Balance Sheet'!H29</f>
        <v>0</v>
      </c>
      <c r="I11" s="12">
        <f>-'Balance Sheet'!I29</f>
        <v>0</v>
      </c>
      <c r="J11" s="12">
        <f>-'Balance Sheet'!J29</f>
        <v>0</v>
      </c>
      <c r="K11" s="12">
        <f>-'Balance Sheet'!K29</f>
        <v>0</v>
      </c>
      <c r="L11" s="12">
        <f>-'Balance Sheet'!L29</f>
        <v>0</v>
      </c>
      <c r="M11" s="5"/>
    </row>
    <row r="12" spans="1:13" ht="15.75" customHeight="1">
      <c r="A12" s="5"/>
      <c r="B12" s="16" t="s">
        <v>48</v>
      </c>
      <c r="C12" s="12"/>
      <c r="D12" s="12"/>
      <c r="E12" s="12"/>
      <c r="F12" s="12"/>
      <c r="G12" s="13"/>
      <c r="H12" s="12"/>
      <c r="I12" s="12"/>
      <c r="J12" s="12"/>
      <c r="K12" s="12"/>
      <c r="L12" s="12"/>
      <c r="M12" s="5"/>
    </row>
    <row r="13" spans="1:13" ht="15.75" customHeight="1">
      <c r="A13" s="5"/>
      <c r="B13" s="11" t="s">
        <v>49</v>
      </c>
      <c r="C13" s="12">
        <v>0</v>
      </c>
      <c r="D13" s="12">
        <v>0</v>
      </c>
      <c r="E13" s="12">
        <v>0</v>
      </c>
      <c r="F13" s="12">
        <v>0</v>
      </c>
      <c r="G13" s="13"/>
      <c r="H13" s="12">
        <v>0</v>
      </c>
      <c r="I13" s="12">
        <f t="shared" ref="I13:L13" ca="1" si="1">-H7</f>
        <v>0</v>
      </c>
      <c r="J13" s="12">
        <f t="shared" ca="1" si="1"/>
        <v>0</v>
      </c>
      <c r="K13" s="12">
        <f t="shared" ca="1" si="1"/>
        <v>0</v>
      </c>
      <c r="L13" s="12">
        <f t="shared" ca="1" si="1"/>
        <v>0</v>
      </c>
      <c r="M13" s="5"/>
    </row>
    <row r="14" spans="1:13" ht="15.75" customHeight="1">
      <c r="A14" s="5"/>
      <c r="B14" s="11" t="s">
        <v>50</v>
      </c>
      <c r="C14" s="12">
        <v>0</v>
      </c>
      <c r="D14" s="12">
        <v>0</v>
      </c>
      <c r="E14" s="12">
        <v>0</v>
      </c>
      <c r="F14" s="12">
        <v>0</v>
      </c>
      <c r="G14" s="13"/>
      <c r="H14" s="12">
        <v>0</v>
      </c>
      <c r="I14" s="12">
        <f>'Community Shares'!D10</f>
        <v>-5203.5</v>
      </c>
      <c r="J14" s="12">
        <f>'Community Shares'!E10</f>
        <v>-5203.5</v>
      </c>
      <c r="K14" s="12">
        <f>'Community Shares'!F10</f>
        <v>-5203.5</v>
      </c>
      <c r="L14" s="12">
        <f>'Community Shares'!G10</f>
        <v>-5203.5</v>
      </c>
      <c r="M14" s="5"/>
    </row>
    <row r="15" spans="1:13" ht="15.75" customHeight="1">
      <c r="A15" s="5"/>
      <c r="B15" s="11" t="s">
        <v>51</v>
      </c>
      <c r="C15" s="12">
        <f>-'Start Up Costs'!L14</f>
        <v>0</v>
      </c>
      <c r="D15" s="12">
        <f>'Balance Sheet'!C29+C15</f>
        <v>0</v>
      </c>
      <c r="E15" s="12">
        <f>'Balance Sheet'!D29</f>
        <v>0</v>
      </c>
      <c r="F15" s="12">
        <f>'Balance Sheet'!E29</f>
        <v>0</v>
      </c>
      <c r="G15" s="13"/>
      <c r="H15" s="12">
        <f>F15</f>
        <v>0</v>
      </c>
      <c r="I15" s="12">
        <f>'Balance Sheet'!H29</f>
        <v>0</v>
      </c>
      <c r="J15" s="12">
        <f>'Balance Sheet'!I29</f>
        <v>0</v>
      </c>
      <c r="K15" s="12">
        <f>'Balance Sheet'!J29</f>
        <v>0</v>
      </c>
      <c r="L15" s="12">
        <f>'Balance Sheet'!K29</f>
        <v>0</v>
      </c>
      <c r="M15" s="5"/>
    </row>
    <row r="16" spans="1:13" ht="15.75" customHeight="1">
      <c r="A16" s="5"/>
      <c r="B16" s="16" t="s">
        <v>52</v>
      </c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5"/>
    </row>
    <row r="17" spans="1:13" ht="15.75" customHeight="1">
      <c r="A17" s="5"/>
      <c r="B17" s="11" t="s">
        <v>53</v>
      </c>
      <c r="C17" s="12">
        <f>-'Balance Sheet'!C22</f>
        <v>0</v>
      </c>
      <c r="D17" s="12">
        <f>'Balance Sheet'!C22-'Balance Sheet'!D22</f>
        <v>0</v>
      </c>
      <c r="E17" s="12">
        <f>'Balance Sheet'!D22-'Balance Sheet'!E22</f>
        <v>0</v>
      </c>
      <c r="F17" s="12">
        <f>'Balance Sheet'!E22-'Balance Sheet'!F22</f>
        <v>0</v>
      </c>
      <c r="G17" s="13"/>
      <c r="H17" s="12">
        <f t="shared" ref="H17:H18" si="2">SUM(C17:F17)</f>
        <v>0</v>
      </c>
      <c r="I17" s="12">
        <f>'Balance Sheet'!H22-'Balance Sheet'!I22</f>
        <v>0</v>
      </c>
      <c r="J17" s="12">
        <f>'Balance Sheet'!I22-'Balance Sheet'!J22</f>
        <v>0</v>
      </c>
      <c r="K17" s="12">
        <f>'Balance Sheet'!J22-'Balance Sheet'!K22</f>
        <v>0</v>
      </c>
      <c r="L17" s="12">
        <f>'Balance Sheet'!K22-'Balance Sheet'!L22</f>
        <v>0</v>
      </c>
      <c r="M17" s="5"/>
    </row>
    <row r="18" spans="1:13" ht="15.75" customHeight="1">
      <c r="A18" s="5"/>
      <c r="B18" s="11" t="s">
        <v>54</v>
      </c>
      <c r="C18" s="12">
        <f>-'Balance Sheet'!C21</f>
        <v>0</v>
      </c>
      <c r="D18" s="12">
        <f>'Balance Sheet'!C21-'Balance Sheet'!D21</f>
        <v>0</v>
      </c>
      <c r="E18" s="12">
        <f>'Balance Sheet'!D21-'Balance Sheet'!E21</f>
        <v>0</v>
      </c>
      <c r="F18" s="12">
        <f>'Balance Sheet'!E21-'Balance Sheet'!F21</f>
        <v>0</v>
      </c>
      <c r="G18" s="13"/>
      <c r="H18" s="12">
        <f t="shared" si="2"/>
        <v>0</v>
      </c>
      <c r="I18" s="12">
        <f ca="1">'Balance Sheet'!H21-'Balance Sheet'!I21</f>
        <v>0</v>
      </c>
      <c r="J18" s="12">
        <f ca="1">'Balance Sheet'!I21-'Balance Sheet'!J21</f>
        <v>0</v>
      </c>
      <c r="K18" s="12">
        <f ca="1">'Balance Sheet'!J21-'Balance Sheet'!K21</f>
        <v>0</v>
      </c>
      <c r="L18" s="12">
        <f ca="1">'Balance Sheet'!K21-'Balance Sheet'!L21</f>
        <v>0</v>
      </c>
      <c r="M18" s="5"/>
    </row>
    <row r="19" spans="1:13" ht="15.75" customHeight="1">
      <c r="A19" s="5"/>
      <c r="B19" s="11" t="s">
        <v>55</v>
      </c>
      <c r="C19" s="12">
        <v>0</v>
      </c>
      <c r="D19" s="12">
        <v>0</v>
      </c>
      <c r="E19" s="12">
        <v>0</v>
      </c>
      <c r="F19" s="12">
        <v>0</v>
      </c>
      <c r="G19" s="13"/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5"/>
    </row>
    <row r="20" spans="1:13" ht="15.75" customHeight="1">
      <c r="A20" s="5"/>
      <c r="B20" s="11" t="s">
        <v>56</v>
      </c>
      <c r="C20" s="12">
        <v>0</v>
      </c>
      <c r="D20" s="12">
        <v>0</v>
      </c>
      <c r="E20" s="12">
        <v>0</v>
      </c>
      <c r="F20" s="12">
        <v>0</v>
      </c>
      <c r="G20" s="13"/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5"/>
    </row>
    <row r="21" spans="1:13" ht="15.75" customHeight="1">
      <c r="A21" s="5"/>
      <c r="B21" s="16" t="s">
        <v>57</v>
      </c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5"/>
    </row>
    <row r="22" spans="1:13" ht="15.75" customHeight="1">
      <c r="A22" s="5"/>
      <c r="B22" s="11" t="s">
        <v>58</v>
      </c>
      <c r="C22" s="12">
        <f>-'Balance Sheet'!C28</f>
        <v>0</v>
      </c>
      <c r="D22" s="12">
        <f>'Balance Sheet'!C28-'Balance Sheet'!D28</f>
        <v>0</v>
      </c>
      <c r="E22" s="12">
        <f>'Balance Sheet'!D28-'Balance Sheet'!E28</f>
        <v>0</v>
      </c>
      <c r="F22" s="12">
        <f>'Balance Sheet'!E28-'Balance Sheet'!F28</f>
        <v>0</v>
      </c>
      <c r="G22" s="13"/>
      <c r="H22" s="12">
        <f>SUM(C22:F22)</f>
        <v>0</v>
      </c>
      <c r="I22" s="12">
        <f>'Balance Sheet'!H28-'Balance Sheet'!I28</f>
        <v>0</v>
      </c>
      <c r="J22" s="12">
        <f>'Balance Sheet'!I28-'Balance Sheet'!J28</f>
        <v>0</v>
      </c>
      <c r="K22" s="12">
        <f>'Balance Sheet'!J28-'Balance Sheet'!K28</f>
        <v>0</v>
      </c>
      <c r="L22" s="12">
        <f>'Balance Sheet'!K28-'Balance Sheet'!L28</f>
        <v>0</v>
      </c>
      <c r="M22" s="5"/>
    </row>
    <row r="23" spans="1:13" ht="15.75" customHeight="1">
      <c r="A23" s="5"/>
      <c r="B23" s="11" t="s">
        <v>59</v>
      </c>
      <c r="C23" s="12">
        <v>0</v>
      </c>
      <c r="D23" s="12">
        <v>0</v>
      </c>
      <c r="E23" s="12">
        <v>0</v>
      </c>
      <c r="F23" s="12">
        <v>0</v>
      </c>
      <c r="G23" s="13"/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5"/>
    </row>
    <row r="24" spans="1:13" ht="15.75" customHeight="1">
      <c r="A24" s="5"/>
      <c r="B24" s="11" t="s">
        <v>60</v>
      </c>
      <c r="C24" s="12">
        <v>0</v>
      </c>
      <c r="D24" s="12">
        <v>0</v>
      </c>
      <c r="E24" s="12">
        <v>0</v>
      </c>
      <c r="F24" s="12">
        <v>0</v>
      </c>
      <c r="G24" s="13"/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5"/>
    </row>
    <row r="25" spans="1:13" ht="15.75" customHeight="1">
      <c r="A25" s="5"/>
      <c r="B25" s="11" t="s">
        <v>61</v>
      </c>
      <c r="C25" s="12">
        <v>0</v>
      </c>
      <c r="D25" s="12">
        <v>0</v>
      </c>
      <c r="E25" s="12">
        <v>0</v>
      </c>
      <c r="F25" s="12">
        <v>0</v>
      </c>
      <c r="G25" s="13"/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5"/>
    </row>
    <row r="26" spans="1:13" ht="15.75" customHeight="1">
      <c r="A26" s="5"/>
      <c r="B26" s="8" t="s">
        <v>62</v>
      </c>
      <c r="C26" s="14">
        <f t="shared" ref="C26:F26" ca="1" si="3">SUM(C5:C25)</f>
        <v>-7477.0583999999999</v>
      </c>
      <c r="D26" s="14">
        <f t="shared" ca="1" si="3"/>
        <v>1972.9416000000001</v>
      </c>
      <c r="E26" s="14">
        <f t="shared" ca="1" si="3"/>
        <v>1972.9416000000001</v>
      </c>
      <c r="F26" s="14">
        <f t="shared" ca="1" si="3"/>
        <v>1972.9416000000001</v>
      </c>
      <c r="G26" s="13"/>
      <c r="H26" s="14">
        <f t="shared" ref="H26:L26" ca="1" si="4">SUM(H5:H25)</f>
        <v>-1558.2335999999996</v>
      </c>
      <c r="I26" s="14">
        <f t="shared" ca="1" si="4"/>
        <v>8396.0085912000031</v>
      </c>
      <c r="J26" s="14">
        <f t="shared" ca="1" si="4"/>
        <v>8766.8150582136022</v>
      </c>
      <c r="K26" s="14">
        <f t="shared" ca="1" si="4"/>
        <v>9156.5002134098831</v>
      </c>
      <c r="L26" s="14">
        <f t="shared" ca="1" si="4"/>
        <v>9599.9739883000948</v>
      </c>
      <c r="M26" s="5"/>
    </row>
    <row r="27" spans="1:13" ht="15.75" customHeight="1">
      <c r="A27" s="5"/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5"/>
    </row>
    <row r="28" spans="1:13" ht="15.75" customHeight="1">
      <c r="A28" s="5"/>
      <c r="B28" s="8" t="s">
        <v>63</v>
      </c>
      <c r="C28" s="12"/>
      <c r="D28" s="12"/>
      <c r="E28" s="12"/>
      <c r="F28" s="12"/>
      <c r="G28" s="13"/>
      <c r="H28" s="12"/>
      <c r="I28" s="12"/>
      <c r="J28" s="12"/>
      <c r="K28" s="12"/>
      <c r="L28" s="12"/>
      <c r="M28" s="5"/>
    </row>
    <row r="29" spans="1:13" ht="15.75" customHeight="1">
      <c r="A29" s="5"/>
      <c r="B29" s="16" t="s">
        <v>64</v>
      </c>
      <c r="C29" s="12">
        <f ca="1">-SUM('Start Up Costs'!G4:G9)</f>
        <v>-155000</v>
      </c>
      <c r="D29" s="12">
        <v>0</v>
      </c>
      <c r="E29" s="12">
        <v>0</v>
      </c>
      <c r="F29" s="12">
        <v>0</v>
      </c>
      <c r="G29" s="13"/>
      <c r="H29" s="12">
        <f ca="1">SUM(C29:F29)</f>
        <v>-155000</v>
      </c>
      <c r="I29" s="12">
        <v>0</v>
      </c>
      <c r="J29" s="12">
        <v>0</v>
      </c>
      <c r="K29" s="12">
        <v>0</v>
      </c>
      <c r="L29" s="12">
        <v>0</v>
      </c>
      <c r="M29" s="5"/>
    </row>
    <row r="30" spans="1:13" ht="15.75" customHeight="1">
      <c r="A30" s="5"/>
      <c r="B30" s="16" t="s">
        <v>65</v>
      </c>
      <c r="C30" s="12">
        <v>0</v>
      </c>
      <c r="D30" s="12">
        <v>0</v>
      </c>
      <c r="E30" s="12">
        <v>0</v>
      </c>
      <c r="F30" s="12">
        <v>0</v>
      </c>
      <c r="G30" s="13"/>
      <c r="H30" s="12">
        <f t="shared" ref="H30:H31" si="5">SUM(C30:F30)</f>
        <v>0</v>
      </c>
      <c r="I30" s="12">
        <v>0</v>
      </c>
      <c r="J30" s="12">
        <v>0</v>
      </c>
      <c r="K30" s="12">
        <v>0</v>
      </c>
      <c r="L30" s="12">
        <v>0</v>
      </c>
      <c r="M30" s="5"/>
    </row>
    <row r="31" spans="1:13" s="595" customFormat="1" ht="15.75" customHeight="1">
      <c r="A31" s="5"/>
      <c r="B31" s="16" t="str">
        <f>'Start Up Costs'!I6</f>
        <v>Fees And Taxes</v>
      </c>
      <c r="C31" s="12">
        <f>-('Start Up Costs'!L13+'Start Up Costs'!L16)</f>
        <v>-9000</v>
      </c>
      <c r="D31" s="12"/>
      <c r="E31" s="12"/>
      <c r="F31" s="12"/>
      <c r="G31" s="13"/>
      <c r="H31" s="12">
        <f t="shared" si="5"/>
        <v>-9000</v>
      </c>
      <c r="I31" s="12"/>
      <c r="J31" s="12"/>
      <c r="K31" s="12"/>
      <c r="L31" s="12"/>
      <c r="M31" s="5"/>
    </row>
    <row r="32" spans="1:13" ht="15.75" customHeight="1">
      <c r="A32" s="5"/>
      <c r="B32" s="8" t="s">
        <v>66</v>
      </c>
      <c r="C32" s="14">
        <f ca="1">SUM(C29:C31)</f>
        <v>-164000</v>
      </c>
      <c r="D32" s="14">
        <f t="shared" ref="D32:F32" si="6">SUM(D29:D30)</f>
        <v>0</v>
      </c>
      <c r="E32" s="14">
        <f t="shared" si="6"/>
        <v>0</v>
      </c>
      <c r="F32" s="14">
        <f t="shared" si="6"/>
        <v>0</v>
      </c>
      <c r="G32" s="13"/>
      <c r="H32" s="14">
        <f ca="1">SUM(H29:H31)</f>
        <v>-164000</v>
      </c>
      <c r="I32" s="14">
        <f t="shared" ref="I32:L32" si="7">SUM(I29:I31)</f>
        <v>0</v>
      </c>
      <c r="J32" s="14">
        <f t="shared" si="7"/>
        <v>0</v>
      </c>
      <c r="K32" s="14">
        <f t="shared" si="7"/>
        <v>0</v>
      </c>
      <c r="L32" s="14">
        <f t="shared" si="7"/>
        <v>0</v>
      </c>
      <c r="M32" s="5"/>
    </row>
    <row r="33" spans="1:13" ht="15.75" customHeight="1">
      <c r="A33" s="5"/>
      <c r="C33" s="12"/>
      <c r="D33" s="12"/>
      <c r="E33" s="12"/>
      <c r="F33" s="12"/>
      <c r="G33" s="13"/>
      <c r="H33" s="12"/>
      <c r="I33" s="12"/>
      <c r="J33" s="12"/>
      <c r="K33" s="12"/>
      <c r="L33" s="12"/>
      <c r="M33" s="5"/>
    </row>
    <row r="34" spans="1:13" ht="15.75" customHeight="1">
      <c r="A34" s="5"/>
      <c r="B34" s="8" t="s">
        <v>67</v>
      </c>
      <c r="C34" s="12"/>
      <c r="D34" s="12"/>
      <c r="E34" s="12"/>
      <c r="F34" s="12"/>
      <c r="G34" s="13"/>
      <c r="H34" s="12"/>
      <c r="I34" s="12"/>
      <c r="J34" s="12"/>
      <c r="K34" s="12"/>
      <c r="L34" s="12"/>
      <c r="M34" s="5"/>
    </row>
    <row r="35" spans="1:13" ht="15.75" customHeight="1">
      <c r="A35" s="5"/>
      <c r="B35" s="16" t="s">
        <v>364</v>
      </c>
      <c r="C35" s="12">
        <f>H35/4</f>
        <v>123.40900000000002</v>
      </c>
      <c r="D35" s="12">
        <f>C35</f>
        <v>123.40900000000002</v>
      </c>
      <c r="E35" s="12">
        <f t="shared" ref="E35:F36" si="8">D35</f>
        <v>123.40900000000002</v>
      </c>
      <c r="F35" s="12">
        <f t="shared" si="8"/>
        <v>123.40900000000002</v>
      </c>
      <c r="G35" s="13"/>
      <c r="H35" s="12">
        <f>'Financial Model'!$AM23</f>
        <v>493.63600000000008</v>
      </c>
      <c r="I35" s="12">
        <f>'Financial Model'!$AM24</f>
        <v>507.45780800000011</v>
      </c>
      <c r="J35" s="12">
        <f>'Financial Model'!$AM25</f>
        <v>521.66662662400017</v>
      </c>
      <c r="K35" s="12">
        <f>'Financial Model'!$AM26</f>
        <v>536.27329216947226</v>
      </c>
      <c r="L35" s="12">
        <f>'Financial Model'!$AM27</f>
        <v>551.28894435021743</v>
      </c>
      <c r="M35" s="5"/>
    </row>
    <row r="36" spans="1:13" ht="15.75" customHeight="1">
      <c r="A36" s="5"/>
      <c r="B36" s="16" t="s">
        <v>365</v>
      </c>
      <c r="C36" s="12">
        <f>H36/4</f>
        <v>246.81800000000004</v>
      </c>
      <c r="D36" s="12">
        <f>C36</f>
        <v>246.81800000000004</v>
      </c>
      <c r="E36" s="12">
        <f t="shared" si="8"/>
        <v>246.81800000000004</v>
      </c>
      <c r="F36" s="12">
        <f t="shared" si="8"/>
        <v>246.81800000000004</v>
      </c>
      <c r="G36" s="13"/>
      <c r="H36" s="12">
        <f>'Financial Model'!$AP23</f>
        <v>987.27200000000016</v>
      </c>
      <c r="I36" s="12">
        <f>'Financial Model'!$AP24</f>
        <v>1014.9156160000002</v>
      </c>
      <c r="J36" s="12">
        <f>'Financial Model'!$AP25</f>
        <v>1043.3332532480003</v>
      </c>
      <c r="K36" s="12">
        <f>'Financial Model'!$AP26</f>
        <v>1072.5465843389445</v>
      </c>
      <c r="L36" s="12">
        <f>'Financial Model'!$AP27</f>
        <v>1102.5778887004349</v>
      </c>
      <c r="M36" s="5"/>
    </row>
    <row r="37" spans="1:13" ht="15.75" customHeight="1">
      <c r="A37" s="5"/>
      <c r="B37" s="16" t="s">
        <v>68</v>
      </c>
      <c r="C37" s="12">
        <v>0</v>
      </c>
      <c r="D37" s="12">
        <v>0</v>
      </c>
      <c r="E37" s="12">
        <v>0</v>
      </c>
      <c r="F37" s="12">
        <v>0</v>
      </c>
      <c r="G37" s="13"/>
      <c r="H37" s="12">
        <f t="shared" ref="H37:H41" si="9">SUM(C37:F37)</f>
        <v>0</v>
      </c>
      <c r="I37" s="12">
        <v>0</v>
      </c>
      <c r="J37" s="12">
        <v>0</v>
      </c>
      <c r="K37" s="12">
        <v>0</v>
      </c>
      <c r="L37" s="12">
        <v>0</v>
      </c>
      <c r="M37" s="5"/>
    </row>
    <row r="38" spans="1:13" ht="15.75" customHeight="1">
      <c r="A38" s="5"/>
      <c r="B38" s="16" t="s">
        <v>69</v>
      </c>
      <c r="C38" s="12">
        <v>0</v>
      </c>
      <c r="D38" s="12">
        <v>0</v>
      </c>
      <c r="E38" s="12">
        <v>0</v>
      </c>
      <c r="F38" s="12">
        <v>0</v>
      </c>
      <c r="G38" s="13"/>
      <c r="H38" s="12">
        <f t="shared" si="9"/>
        <v>0</v>
      </c>
      <c r="I38" s="12">
        <v>0</v>
      </c>
      <c r="J38" s="12">
        <v>0</v>
      </c>
      <c r="K38" s="12">
        <v>0</v>
      </c>
      <c r="L38" s="12">
        <v>0</v>
      </c>
      <c r="M38" s="5"/>
    </row>
    <row r="39" spans="1:13" ht="15.75" customHeight="1">
      <c r="A39" s="5"/>
      <c r="B39" s="16" t="s">
        <v>70</v>
      </c>
      <c r="C39" s="12">
        <f>'Community Shares'!C3</f>
        <v>173450</v>
      </c>
      <c r="D39" s="12"/>
      <c r="E39" s="12"/>
      <c r="F39" s="12"/>
      <c r="G39" s="13"/>
      <c r="H39" s="12">
        <f t="shared" si="9"/>
        <v>173450</v>
      </c>
      <c r="I39" s="12"/>
      <c r="J39" s="12"/>
      <c r="K39" s="12"/>
      <c r="L39" s="12"/>
      <c r="M39" s="5"/>
    </row>
    <row r="40" spans="1:13" ht="15.75" customHeight="1">
      <c r="A40" s="5"/>
      <c r="B40" s="16" t="s">
        <v>71</v>
      </c>
      <c r="C40" s="12">
        <f>'Community Shares'!$C11/4</f>
        <v>0</v>
      </c>
      <c r="D40" s="12">
        <f>'Community Shares'!$C11/4</f>
        <v>0</v>
      </c>
      <c r="E40" s="12">
        <f>'Community Shares'!$C11/4</f>
        <v>0</v>
      </c>
      <c r="F40" s="12">
        <f>'Community Shares'!$C11/4</f>
        <v>0</v>
      </c>
      <c r="G40" s="13"/>
      <c r="H40" s="12">
        <f t="shared" si="9"/>
        <v>0</v>
      </c>
      <c r="I40" s="12">
        <f>'Community Shares'!D11</f>
        <v>0</v>
      </c>
      <c r="J40" s="12">
        <f>'Community Shares'!E11</f>
        <v>0</v>
      </c>
      <c r="K40" s="12">
        <f>'Community Shares'!F11</f>
        <v>0</v>
      </c>
      <c r="L40" s="12">
        <f>'Community Shares'!G11</f>
        <v>0</v>
      </c>
      <c r="M40" s="5"/>
    </row>
    <row r="41" spans="1:13" ht="15.75" customHeight="1">
      <c r="A41" s="5"/>
      <c r="B41" s="16" t="s">
        <v>72</v>
      </c>
      <c r="C41" s="12">
        <v>0</v>
      </c>
      <c r="D41" s="12">
        <v>0</v>
      </c>
      <c r="E41" s="12">
        <v>0</v>
      </c>
      <c r="F41" s="12">
        <v>0</v>
      </c>
      <c r="G41" s="13"/>
      <c r="H41" s="12">
        <f t="shared" si="9"/>
        <v>0</v>
      </c>
      <c r="I41" s="12">
        <v>0</v>
      </c>
      <c r="J41" s="12">
        <v>0</v>
      </c>
      <c r="K41" s="12">
        <v>0</v>
      </c>
      <c r="L41" s="12">
        <v>0</v>
      </c>
      <c r="M41" s="5"/>
    </row>
    <row r="42" spans="1:13" ht="15.75" customHeight="1">
      <c r="A42" s="5"/>
      <c r="B42" s="8" t="s">
        <v>73</v>
      </c>
      <c r="C42" s="14">
        <f t="shared" ref="C42:F42" si="10">SUM(C35:C41)</f>
        <v>173820.22700000001</v>
      </c>
      <c r="D42" s="14">
        <f t="shared" si="10"/>
        <v>370.22700000000009</v>
      </c>
      <c r="E42" s="14">
        <f t="shared" si="10"/>
        <v>370.22700000000009</v>
      </c>
      <c r="F42" s="14">
        <f t="shared" si="10"/>
        <v>370.22700000000009</v>
      </c>
      <c r="G42" s="13"/>
      <c r="H42" s="14">
        <f t="shared" ref="H42:L42" si="11">SUM(H35:H41)</f>
        <v>174930.908</v>
      </c>
      <c r="I42" s="14">
        <f t="shared" si="11"/>
        <v>1522.3734240000003</v>
      </c>
      <c r="J42" s="14">
        <f t="shared" si="11"/>
        <v>1564.9998798720005</v>
      </c>
      <c r="K42" s="14">
        <f t="shared" si="11"/>
        <v>1608.8198765084167</v>
      </c>
      <c r="L42" s="14">
        <f t="shared" si="11"/>
        <v>1653.8668330506523</v>
      </c>
      <c r="M42" s="5"/>
    </row>
    <row r="43" spans="1:13" s="595" customFormat="1" ht="15.75" customHeight="1">
      <c r="A43" s="5"/>
      <c r="B43" s="8"/>
      <c r="C43" s="605"/>
      <c r="D43" s="605"/>
      <c r="E43" s="605"/>
      <c r="F43" s="605"/>
      <c r="G43" s="13"/>
      <c r="H43" s="605"/>
      <c r="I43" s="605"/>
      <c r="J43" s="605"/>
      <c r="K43" s="605"/>
      <c r="L43" s="605"/>
      <c r="M43" s="5"/>
    </row>
    <row r="44" spans="1:13" s="595" customFormat="1" ht="15.75" customHeight="1">
      <c r="A44" s="5"/>
      <c r="B44" s="8"/>
      <c r="C44" s="605"/>
      <c r="D44" s="605"/>
      <c r="E44" s="605"/>
      <c r="F44" s="605"/>
      <c r="G44" s="13"/>
      <c r="H44" s="605"/>
      <c r="I44" s="605"/>
      <c r="J44" s="605"/>
      <c r="K44" s="605"/>
      <c r="L44" s="605"/>
      <c r="M44" s="5"/>
    </row>
    <row r="45" spans="1:13" ht="15.75" customHeight="1">
      <c r="A45" s="5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5"/>
    </row>
    <row r="46" spans="1:13" ht="15.75" customHeight="1">
      <c r="A46" s="5"/>
      <c r="B46" s="8" t="s">
        <v>74</v>
      </c>
      <c r="C46" s="18">
        <f t="shared" ref="C46:F46" ca="1" si="12">C26+C32+C42</f>
        <v>2343.1686000000045</v>
      </c>
      <c r="D46" s="18">
        <f t="shared" ca="1" si="12"/>
        <v>2343.1686</v>
      </c>
      <c r="E46" s="18">
        <f t="shared" ca="1" si="12"/>
        <v>2343.1686</v>
      </c>
      <c r="F46" s="18">
        <f t="shared" ca="1" si="12"/>
        <v>2343.1686</v>
      </c>
      <c r="G46" s="13"/>
      <c r="H46" s="18">
        <f t="shared" ref="H46:L46" ca="1" si="13">H26+H32+H42</f>
        <v>9372.674399999989</v>
      </c>
      <c r="I46" s="18">
        <f t="shared" ca="1" si="13"/>
        <v>9918.3820152000044</v>
      </c>
      <c r="J46" s="18">
        <f t="shared" ca="1" si="13"/>
        <v>10331.814938085603</v>
      </c>
      <c r="K46" s="18">
        <f t="shared" ca="1" si="13"/>
        <v>10765.320089918299</v>
      </c>
      <c r="L46" s="18">
        <f t="shared" ca="1" si="13"/>
        <v>11253.840821350746</v>
      </c>
      <c r="M46" s="5"/>
    </row>
    <row r="47" spans="1:13" ht="15.75" customHeight="1">
      <c r="A47" s="5"/>
      <c r="B47" s="16" t="s">
        <v>75</v>
      </c>
      <c r="C47" s="18">
        <v>0</v>
      </c>
      <c r="D47" s="18">
        <f t="shared" ref="D47:F47" ca="1" si="14">C48</f>
        <v>2343.1686000000045</v>
      </c>
      <c r="E47" s="18">
        <f t="shared" ca="1" si="14"/>
        <v>4686.3372000000045</v>
      </c>
      <c r="F47" s="18">
        <f t="shared" ca="1" si="14"/>
        <v>7029.5058000000045</v>
      </c>
      <c r="G47" s="13"/>
      <c r="H47" s="18">
        <f>C47</f>
        <v>0</v>
      </c>
      <c r="I47" s="18">
        <f t="shared" ref="I47:L47" ca="1" si="15">H48</f>
        <v>9372.6744000000035</v>
      </c>
      <c r="J47" s="18">
        <f t="shared" ca="1" si="15"/>
        <v>19291.056415200008</v>
      </c>
      <c r="K47" s="18">
        <f t="shared" ca="1" si="15"/>
        <v>29622.871353285613</v>
      </c>
      <c r="L47" s="18">
        <f t="shared" ca="1" si="15"/>
        <v>40388.191443203912</v>
      </c>
      <c r="M47" s="5"/>
    </row>
    <row r="48" spans="1:13" ht="15.75" customHeight="1">
      <c r="A48" s="5"/>
      <c r="B48" s="16" t="s">
        <v>76</v>
      </c>
      <c r="C48" s="12">
        <f t="shared" ref="C48:F48" ca="1" si="16">SUM(C46:C47)</f>
        <v>2343.1686000000045</v>
      </c>
      <c r="D48" s="12">
        <f t="shared" ca="1" si="16"/>
        <v>4686.3372000000045</v>
      </c>
      <c r="E48" s="12">
        <f t="shared" ca="1" si="16"/>
        <v>7029.5058000000045</v>
      </c>
      <c r="F48" s="12">
        <f t="shared" ca="1" si="16"/>
        <v>9372.6744000000035</v>
      </c>
      <c r="G48" s="13"/>
      <c r="H48" s="12">
        <f ca="1">F48</f>
        <v>9372.6744000000035</v>
      </c>
      <c r="I48" s="12">
        <f t="shared" ref="I48:L48" ca="1" si="17">SUM(I46:I47)</f>
        <v>19291.056415200008</v>
      </c>
      <c r="J48" s="12">
        <f t="shared" ca="1" si="17"/>
        <v>29622.871353285613</v>
      </c>
      <c r="K48" s="12">
        <f t="shared" ca="1" si="17"/>
        <v>40388.191443203912</v>
      </c>
      <c r="L48" s="12">
        <f t="shared" ca="1" si="17"/>
        <v>51642.032264554655</v>
      </c>
      <c r="M48" s="5"/>
    </row>
    <row r="49" spans="1:13" ht="15.75" customHeight="1">
      <c r="A49" s="5"/>
      <c r="B49" s="5"/>
      <c r="C49" s="17"/>
      <c r="D49" s="17"/>
      <c r="E49" s="17"/>
      <c r="F49" s="17"/>
      <c r="G49" s="13"/>
      <c r="H49" s="17"/>
      <c r="I49" s="17"/>
      <c r="J49" s="17"/>
      <c r="K49" s="17"/>
      <c r="L49" s="17"/>
      <c r="M49" s="5"/>
    </row>
    <row r="50" spans="1:13" ht="15.75" customHeight="1"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5.75" customHeight="1"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5.75" customHeight="1"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3" ht="15.75" customHeight="1"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3" ht="15.75" customHeight="1"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3" ht="15.75" customHeight="1"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3" ht="15.75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3" ht="15.75" customHeight="1"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3" ht="15.75" customHeight="1"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3" ht="15.75" customHeight="1"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3" ht="15.75" customHeight="1"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3" ht="15.75" customHeight="1"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3" ht="15.75" customHeight="1"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3" ht="15.75" customHeight="1"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3" ht="15.75" customHeight="1"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3:12" ht="15.75" customHeight="1"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3:12" ht="15.75" customHeight="1"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3:12" ht="15.75" customHeight="1"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3:12" ht="15.75" customHeight="1"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3:12" ht="15.75" customHeight="1"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3:12" ht="15.75" customHeight="1"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3:12" ht="15.75" customHeight="1"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3:12" ht="15.75" customHeight="1"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3:12" ht="15.75" customHeight="1"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3:12" ht="15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3:12" ht="12.75"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3:12" ht="12.75"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3:12" ht="12.75"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3:12" ht="12.75"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3:12" ht="12.75"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3:12" ht="12.75"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3:12" ht="12.75"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3:12" ht="12.75"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3:12" ht="12.75"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3:12" ht="12.75"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3:12" ht="12.75"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3:12" ht="12.75"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3:12" ht="12.75"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3:12" ht="12.75"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3:12" ht="12.75"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3:12" ht="12.75"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3:12" ht="12.75"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3:12" ht="12.75"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3:12" ht="12.75"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3:12" ht="12.75">
      <c r="C94" s="12"/>
      <c r="D94" s="12"/>
      <c r="E94" s="12"/>
      <c r="F94" s="12"/>
      <c r="G94" s="12"/>
      <c r="H94" s="12"/>
      <c r="I94" s="12"/>
      <c r="J94" s="12"/>
      <c r="K94" s="12"/>
      <c r="L94" s="12"/>
    </row>
  </sheetData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53"/>
  <sheetViews>
    <sheetView zoomScale="70" zoomScaleNormal="70" workbookViewId="0">
      <selection activeCell="J48" sqref="J48"/>
    </sheetView>
  </sheetViews>
  <sheetFormatPr defaultColWidth="12.7109375" defaultRowHeight="15.75" customHeight="1"/>
  <cols>
    <col min="1" max="1" width="2.28515625" customWidth="1"/>
    <col min="2" max="2" width="30.42578125" customWidth="1"/>
    <col min="7" max="7" width="2.28515625" customWidth="1"/>
    <col min="13" max="13" width="2.28515625" customWidth="1"/>
  </cols>
  <sheetData>
    <row r="1" spans="1:13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customHeight="1">
      <c r="A2" s="5"/>
      <c r="C2" s="6" t="str">
        <f>'P&amp;L'!C2</f>
        <v>Q1</v>
      </c>
      <c r="D2" s="6" t="str">
        <f>'P&amp;L'!D2</f>
        <v>Q2</v>
      </c>
      <c r="E2" s="6" t="str">
        <f>'P&amp;L'!E2</f>
        <v>Q3</v>
      </c>
      <c r="F2" s="6" t="str">
        <f>'P&amp;L'!F2</f>
        <v>Q4</v>
      </c>
      <c r="G2" s="7"/>
      <c r="H2" s="6" t="str">
        <f>'P&amp;L'!H2</f>
        <v>Year 1</v>
      </c>
      <c r="I2" s="6" t="str">
        <f>'P&amp;L'!I2</f>
        <v>Year 2</v>
      </c>
      <c r="J2" s="6" t="str">
        <f>'P&amp;L'!J2</f>
        <v>Year 3</v>
      </c>
      <c r="K2" s="6" t="str">
        <f>'P&amp;L'!K2</f>
        <v>Year 4</v>
      </c>
      <c r="L2" s="6" t="str">
        <f>'P&amp;L'!L2</f>
        <v>Year 5</v>
      </c>
      <c r="M2" s="5"/>
    </row>
    <row r="3" spans="1:13" ht="15.75" customHeight="1">
      <c r="A3" s="5"/>
      <c r="C3" s="6" t="str">
        <f>'P&amp;L'!C3</f>
        <v>(£)</v>
      </c>
      <c r="D3" s="6" t="str">
        <f>'P&amp;L'!D3</f>
        <v>(£)</v>
      </c>
      <c r="E3" s="6" t="str">
        <f>'P&amp;L'!E3</f>
        <v>(£)</v>
      </c>
      <c r="F3" s="6" t="str">
        <f>'P&amp;L'!F3</f>
        <v>(£)</v>
      </c>
      <c r="G3" s="7"/>
      <c r="H3" s="6" t="str">
        <f>'P&amp;L'!H3</f>
        <v>(£)</v>
      </c>
      <c r="I3" s="6" t="str">
        <f>'P&amp;L'!I3</f>
        <v>(£)</v>
      </c>
      <c r="J3" s="6" t="str">
        <f>'P&amp;L'!J3</f>
        <v>(£)</v>
      </c>
      <c r="K3" s="6" t="str">
        <f>'P&amp;L'!K3</f>
        <v>(£)</v>
      </c>
      <c r="L3" s="6" t="str">
        <f>'P&amp;L'!L3</f>
        <v>(£)</v>
      </c>
      <c r="M3" s="5"/>
    </row>
    <row r="4" spans="1:13" ht="15.75" customHeight="1">
      <c r="A4" s="5"/>
      <c r="B4" s="195" t="s">
        <v>333</v>
      </c>
      <c r="C4" s="480">
        <f>H4</f>
        <v>155000</v>
      </c>
      <c r="D4" s="480">
        <f ca="1">C17</f>
        <v>155552.08333333334</v>
      </c>
      <c r="E4" s="480">
        <f t="shared" ref="E4:F4" ca="1" si="0">D17</f>
        <v>156104.16666666669</v>
      </c>
      <c r="F4" s="480">
        <f t="shared" ca="1" si="0"/>
        <v>156656.25000000003</v>
      </c>
      <c r="G4" s="612"/>
      <c r="H4" s="479">
        <f>'Start Up Costs'!J4</f>
        <v>155000</v>
      </c>
      <c r="I4" s="480">
        <f ca="1">H17</f>
        <v>157208.33333333334</v>
      </c>
      <c r="J4" s="480">
        <f t="shared" ref="J4:L4" ca="1" si="1">I17</f>
        <v>159513.54166666669</v>
      </c>
      <c r="K4" s="480">
        <f t="shared" ca="1" si="1"/>
        <v>161918.04687500003</v>
      </c>
      <c r="L4" s="480">
        <f t="shared" ca="1" si="1"/>
        <v>164424.33138020834</v>
      </c>
      <c r="M4" s="5"/>
    </row>
    <row r="5" spans="1:13" ht="15.75" customHeight="1">
      <c r="A5" s="5"/>
      <c r="B5" s="481" t="str">
        <f>'[1]Start Up Costs'!D4</f>
        <v>Land &amp; Buildings</v>
      </c>
      <c r="C5" s="482">
        <f ca="1">H5</f>
        <v>150000</v>
      </c>
      <c r="D5" s="483">
        <f ca="1">C7</f>
        <v>149625</v>
      </c>
      <c r="E5" s="483">
        <f ca="1">D7</f>
        <v>149250</v>
      </c>
      <c r="F5" s="483">
        <f ca="1">E7</f>
        <v>148875</v>
      </c>
      <c r="G5" s="484"/>
      <c r="H5" s="483">
        <f ca="1">'Start Up Costs'!G4</f>
        <v>150000</v>
      </c>
      <c r="I5" s="483">
        <f ca="1">H7</f>
        <v>148500</v>
      </c>
      <c r="J5" s="483">
        <f t="shared" ref="J5:L5" ca="1" si="2">I7</f>
        <v>147000</v>
      </c>
      <c r="K5" s="483">
        <f t="shared" ca="1" si="2"/>
        <v>145500</v>
      </c>
      <c r="L5" s="483">
        <f t="shared" ca="1" si="2"/>
        <v>144000</v>
      </c>
      <c r="M5" s="5"/>
    </row>
    <row r="6" spans="1:13" s="478" customFormat="1" ht="15.75" customHeight="1">
      <c r="A6" s="5"/>
      <c r="B6" s="618" t="s">
        <v>334</v>
      </c>
      <c r="C6" s="619">
        <f ca="1">H6/4</f>
        <v>-375</v>
      </c>
      <c r="D6" s="619">
        <f ca="1">C6</f>
        <v>-375</v>
      </c>
      <c r="E6" s="619">
        <f ca="1">D6</f>
        <v>-375</v>
      </c>
      <c r="F6" s="619">
        <f ca="1">E6</f>
        <v>-375</v>
      </c>
      <c r="G6" s="620"/>
      <c r="H6" s="619">
        <f ca="1">-'Start Up Costs'!F4</f>
        <v>-1500</v>
      </c>
      <c r="I6" s="619">
        <f ca="1">H6</f>
        <v>-1500</v>
      </c>
      <c r="J6" s="619">
        <f ca="1">I6</f>
        <v>-1500</v>
      </c>
      <c r="K6" s="619">
        <f ca="1">J6</f>
        <v>-1500</v>
      </c>
      <c r="L6" s="619">
        <f ca="1">K6</f>
        <v>-1500</v>
      </c>
      <c r="M6" s="5"/>
    </row>
    <row r="7" spans="1:13" s="478" customFormat="1" ht="15.75" customHeight="1">
      <c r="A7" s="5"/>
      <c r="B7" s="481" t="s">
        <v>335</v>
      </c>
      <c r="C7" s="560">
        <f ca="1">C5+C6</f>
        <v>149625</v>
      </c>
      <c r="D7" s="560">
        <f t="shared" ref="D7:F7" ca="1" si="3">D5+D6</f>
        <v>149250</v>
      </c>
      <c r="E7" s="560">
        <f t="shared" ca="1" si="3"/>
        <v>148875</v>
      </c>
      <c r="F7" s="560">
        <f t="shared" ca="1" si="3"/>
        <v>148500</v>
      </c>
      <c r="G7" s="484"/>
      <c r="H7" s="560">
        <f ca="1">H5+H6</f>
        <v>148500</v>
      </c>
      <c r="I7" s="560">
        <f t="shared" ref="I7:L7" ca="1" si="4">I5+I6</f>
        <v>147000</v>
      </c>
      <c r="J7" s="560">
        <f t="shared" ca="1" si="4"/>
        <v>145500</v>
      </c>
      <c r="K7" s="560">
        <f t="shared" ca="1" si="4"/>
        <v>144000</v>
      </c>
      <c r="L7" s="560">
        <f t="shared" ca="1" si="4"/>
        <v>142500</v>
      </c>
      <c r="M7" s="5"/>
    </row>
    <row r="8" spans="1:13" ht="15.75" customHeight="1">
      <c r="A8" s="5"/>
      <c r="B8" s="481" t="str">
        <f>'[1]Start Up Costs'!D5</f>
        <v>Fixtures and Fittings</v>
      </c>
      <c r="C8" s="613">
        <f>H8</f>
        <v>5000</v>
      </c>
      <c r="D8" s="614">
        <f ca="1">C10</f>
        <v>4958.333333333333</v>
      </c>
      <c r="E8" s="614">
        <f t="shared" ref="E8:F8" ca="1" si="5">D10</f>
        <v>4916.6666666666661</v>
      </c>
      <c r="F8" s="614">
        <f t="shared" ca="1" si="5"/>
        <v>4874.9999999999991</v>
      </c>
      <c r="G8" s="484"/>
      <c r="H8" s="613">
        <f>'Start Up Costs'!F15</f>
        <v>5000</v>
      </c>
      <c r="I8" s="614">
        <f ca="1">H10</f>
        <v>4833.333333333333</v>
      </c>
      <c r="J8" s="614">
        <f t="shared" ref="J8:L8" ca="1" si="6">I10</f>
        <v>4666.6666666666661</v>
      </c>
      <c r="K8" s="614">
        <f t="shared" ca="1" si="6"/>
        <v>4499.9999999999991</v>
      </c>
      <c r="L8" s="614">
        <f t="shared" ca="1" si="6"/>
        <v>4333.3333333333321</v>
      </c>
      <c r="M8" s="5"/>
    </row>
    <row r="9" spans="1:13" s="478" customFormat="1" ht="15.75" customHeight="1">
      <c r="A9" s="5"/>
      <c r="B9" s="618" t="s">
        <v>336</v>
      </c>
      <c r="C9" s="619">
        <f ca="1">H9/4</f>
        <v>-41.666666666666664</v>
      </c>
      <c r="D9" s="619">
        <f ca="1">C9</f>
        <v>-41.666666666666664</v>
      </c>
      <c r="E9" s="619">
        <f ca="1">D9</f>
        <v>-41.666666666666664</v>
      </c>
      <c r="F9" s="619">
        <f ca="1">E9</f>
        <v>-41.666666666666664</v>
      </c>
      <c r="G9" s="620"/>
      <c r="H9" s="619">
        <f ca="1">-'Start Up Costs'!F5</f>
        <v>-166.66666666666666</v>
      </c>
      <c r="I9" s="619">
        <f ca="1">H9</f>
        <v>-166.66666666666666</v>
      </c>
      <c r="J9" s="619">
        <f t="shared" ref="J9:L9" ca="1" si="7">I9</f>
        <v>-166.66666666666666</v>
      </c>
      <c r="K9" s="619">
        <f t="shared" ca="1" si="7"/>
        <v>-166.66666666666666</v>
      </c>
      <c r="L9" s="619">
        <f t="shared" ca="1" si="7"/>
        <v>-166.66666666666666</v>
      </c>
      <c r="M9" s="5"/>
    </row>
    <row r="10" spans="1:13" s="478" customFormat="1" ht="15.75" customHeight="1">
      <c r="A10" s="5"/>
      <c r="B10" s="481" t="s">
        <v>337</v>
      </c>
      <c r="C10" s="560">
        <f ca="1">C9+C8</f>
        <v>4958.333333333333</v>
      </c>
      <c r="D10" s="560">
        <f t="shared" ref="D10:F10" ca="1" si="8">D9+D8</f>
        <v>4916.6666666666661</v>
      </c>
      <c r="E10" s="560">
        <f t="shared" ca="1" si="8"/>
        <v>4874.9999999999991</v>
      </c>
      <c r="F10" s="560">
        <f t="shared" ca="1" si="8"/>
        <v>4833.3333333333321</v>
      </c>
      <c r="G10" s="484"/>
      <c r="H10" s="560">
        <f ca="1">H8+H9</f>
        <v>4833.333333333333</v>
      </c>
      <c r="I10" s="560">
        <f ca="1">I8+I9</f>
        <v>4666.6666666666661</v>
      </c>
      <c r="J10" s="560">
        <f t="shared" ref="J10:L10" ca="1" si="9">J8+J9</f>
        <v>4499.9999999999991</v>
      </c>
      <c r="K10" s="560">
        <f t="shared" ca="1" si="9"/>
        <v>4333.3333333333321</v>
      </c>
      <c r="L10" s="560">
        <f t="shared" ca="1" si="9"/>
        <v>4166.6666666666652</v>
      </c>
      <c r="M10" s="5"/>
    </row>
    <row r="11" spans="1:13" ht="15.75" customHeight="1">
      <c r="A11" s="5"/>
      <c r="B11" s="481" t="str">
        <f>'[1]Start Up Costs'!D6</f>
        <v>Vehicles</v>
      </c>
      <c r="C11" s="482"/>
      <c r="D11" s="482"/>
      <c r="E11" s="482"/>
      <c r="F11" s="482"/>
      <c r="G11" s="484"/>
      <c r="H11" s="482"/>
      <c r="I11" s="482"/>
      <c r="J11" s="482"/>
      <c r="K11" s="482"/>
      <c r="L11" s="482"/>
      <c r="M11" s="5"/>
    </row>
    <row r="12" spans="1:13" ht="15.75" customHeight="1">
      <c r="A12" s="5"/>
      <c r="B12" s="481" t="str">
        <f>'[1]Start Up Costs'!D7</f>
        <v>Machinery</v>
      </c>
      <c r="C12" s="482"/>
      <c r="D12" s="482"/>
      <c r="E12" s="482"/>
      <c r="F12" s="482"/>
      <c r="G12" s="484"/>
      <c r="H12" s="482"/>
      <c r="I12" s="482"/>
      <c r="J12" s="482"/>
      <c r="K12" s="482"/>
      <c r="L12" s="482"/>
      <c r="M12" s="5"/>
    </row>
    <row r="13" spans="1:13" ht="15.75" customHeight="1">
      <c r="A13" s="5"/>
      <c r="B13" s="481" t="str">
        <f>'[1]Start Up Costs'!D8</f>
        <v>Equipment</v>
      </c>
      <c r="C13" s="482"/>
      <c r="D13" s="482"/>
      <c r="E13" s="482"/>
      <c r="F13" s="482"/>
      <c r="G13" s="484"/>
      <c r="H13" s="482"/>
      <c r="I13" s="482"/>
      <c r="J13" s="482"/>
      <c r="K13" s="482"/>
      <c r="L13" s="482"/>
      <c r="M13" s="5"/>
    </row>
    <row r="14" spans="1:13" s="435" customFormat="1" ht="15.75" customHeight="1">
      <c r="A14" s="5"/>
      <c r="B14" s="481" t="str">
        <f>'[1]Start Up Costs'!D9</f>
        <v>IT</v>
      </c>
      <c r="C14" s="482"/>
      <c r="D14" s="482"/>
      <c r="E14" s="482"/>
      <c r="F14" s="482"/>
      <c r="G14" s="484"/>
      <c r="H14" s="482"/>
      <c r="I14" s="482"/>
      <c r="J14" s="482"/>
      <c r="K14" s="482"/>
      <c r="L14" s="482"/>
      <c r="M14" s="5"/>
    </row>
    <row r="15" spans="1:13" ht="15.75" customHeight="1">
      <c r="A15" s="5"/>
      <c r="B15" s="618" t="str">
        <f>'[1]Start Up Costs'!D10</f>
        <v>Property Appreciation</v>
      </c>
      <c r="C15" s="621">
        <f>H15/4</f>
        <v>968.75</v>
      </c>
      <c r="D15" s="621">
        <f>C15</f>
        <v>968.75</v>
      </c>
      <c r="E15" s="621">
        <f>D15</f>
        <v>968.75</v>
      </c>
      <c r="F15" s="621">
        <f>E15</f>
        <v>968.75</v>
      </c>
      <c r="G15" s="620"/>
      <c r="H15" s="621">
        <f>'Financial Model'!B24-'Financial Model'!B23</f>
        <v>3875</v>
      </c>
      <c r="I15" s="621">
        <f>'Financial Model'!B25-'Financial Model'!B24</f>
        <v>3971.875</v>
      </c>
      <c r="J15" s="621">
        <f>'Financial Model'!B26-'Financial Model'!B25</f>
        <v>4071.171875</v>
      </c>
      <c r="K15" s="621">
        <f>'Financial Model'!B27-'Financial Model'!B26</f>
        <v>4172.9511718749709</v>
      </c>
      <c r="L15" s="621">
        <f>'Financial Model'!B28-'Financial Model'!B27</f>
        <v>4277.2749511718575</v>
      </c>
      <c r="M15" s="5"/>
    </row>
    <row r="16" spans="1:13" s="478" customFormat="1" ht="15.75" customHeight="1">
      <c r="A16" s="5"/>
      <c r="B16" s="615" t="s">
        <v>338</v>
      </c>
      <c r="C16" s="616">
        <f ca="1">C6+C9+C15</f>
        <v>552.08333333333326</v>
      </c>
      <c r="D16" s="616">
        <f t="shared" ref="D16:F16" ca="1" si="10">D6+D9+D15</f>
        <v>552.08333333333326</v>
      </c>
      <c r="E16" s="616">
        <f t="shared" ca="1" si="10"/>
        <v>552.08333333333326</v>
      </c>
      <c r="F16" s="616">
        <f t="shared" ca="1" si="10"/>
        <v>552.08333333333326</v>
      </c>
      <c r="G16" s="617"/>
      <c r="H16" s="616">
        <f ca="1">H6+H9+H15</f>
        <v>2208.333333333333</v>
      </c>
      <c r="I16" s="616">
        <f t="shared" ref="I16:L16" ca="1" si="11">I6+I9+I15</f>
        <v>2305.208333333333</v>
      </c>
      <c r="J16" s="616">
        <f t="shared" ca="1" si="11"/>
        <v>2404.505208333333</v>
      </c>
      <c r="K16" s="616">
        <f t="shared" ca="1" si="11"/>
        <v>2506.2845052083039</v>
      </c>
      <c r="L16" s="616">
        <f t="shared" ca="1" si="11"/>
        <v>2610.6082845051906</v>
      </c>
      <c r="M16" s="5"/>
    </row>
    <row r="17" spans="1:14" ht="15.75" customHeight="1">
      <c r="A17" s="5"/>
      <c r="B17" s="195" t="s">
        <v>339</v>
      </c>
      <c r="C17" s="485">
        <f ca="1">C4+C16</f>
        <v>155552.08333333334</v>
      </c>
      <c r="D17" s="485">
        <f t="shared" ref="D17:F17" ca="1" si="12">D4+D16</f>
        <v>156104.16666666669</v>
      </c>
      <c r="E17" s="485">
        <f t="shared" ca="1" si="12"/>
        <v>156656.25000000003</v>
      </c>
      <c r="F17" s="485">
        <f t="shared" ca="1" si="12"/>
        <v>157208.33333333337</v>
      </c>
      <c r="G17" s="484"/>
      <c r="H17" s="485">
        <f ca="1">H4+H16</f>
        <v>157208.33333333334</v>
      </c>
      <c r="I17" s="485">
        <f t="shared" ref="I17:L17" ca="1" si="13">I4+I16</f>
        <v>159513.54166666669</v>
      </c>
      <c r="J17" s="485">
        <f t="shared" ca="1" si="13"/>
        <v>161918.04687500003</v>
      </c>
      <c r="K17" s="485">
        <f t="shared" ca="1" si="13"/>
        <v>164424.33138020834</v>
      </c>
      <c r="L17" s="485">
        <f t="shared" ca="1" si="13"/>
        <v>167034.93966471354</v>
      </c>
      <c r="M17" s="5"/>
      <c r="N17" s="486"/>
    </row>
    <row r="18" spans="1:14" ht="15.75" customHeight="1">
      <c r="A18" s="5"/>
      <c r="C18" s="12"/>
      <c r="D18" s="12"/>
      <c r="E18" s="12"/>
      <c r="F18" s="12"/>
      <c r="G18" s="13"/>
      <c r="H18" s="12"/>
      <c r="I18" s="12"/>
      <c r="J18" s="12"/>
      <c r="K18" s="12"/>
      <c r="L18" s="12"/>
      <c r="M18" s="5"/>
    </row>
    <row r="19" spans="1:14" ht="15.75" customHeight="1">
      <c r="A19" s="5"/>
      <c r="B19" s="8" t="s">
        <v>78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5"/>
    </row>
    <row r="20" spans="1:14" ht="15.75" customHeight="1">
      <c r="A20" s="5"/>
      <c r="B20" s="11" t="s">
        <v>79</v>
      </c>
      <c r="C20" s="12">
        <f ca="1">H20/4</f>
        <v>2343.1686000000004</v>
      </c>
      <c r="D20" s="12">
        <f ca="1">C20*2</f>
        <v>4686.3372000000008</v>
      </c>
      <c r="E20" s="12">
        <f ca="1">C20*3</f>
        <v>7029.5058000000008</v>
      </c>
      <c r="F20" s="12">
        <f ca="1">C20*4</f>
        <v>9372.6744000000017</v>
      </c>
      <c r="G20" s="13"/>
      <c r="H20" s="12">
        <f ca="1">'Financial Model'!U23</f>
        <v>9372.6744000000017</v>
      </c>
      <c r="I20" s="12">
        <f ca="1">'Financial Model'!U24</f>
        <v>14087.556415200002</v>
      </c>
      <c r="J20" s="12">
        <f ca="1">'Financial Model'!U25</f>
        <v>19215.871353285609</v>
      </c>
      <c r="K20" s="12">
        <f ca="1">'Financial Model'!U26</f>
        <v>24777.691443203908</v>
      </c>
      <c r="L20" s="12">
        <f ca="1">'Financial Model'!U27</f>
        <v>30759.782055512387</v>
      </c>
      <c r="M20" s="5"/>
    </row>
    <row r="21" spans="1:14" ht="15.75" customHeight="1">
      <c r="A21" s="5"/>
      <c r="B21" s="11" t="s">
        <v>80</v>
      </c>
      <c r="C21" s="12">
        <f>'P&amp;L'!C8/3/30*'General Dashboard'!$I$7</f>
        <v>0</v>
      </c>
      <c r="D21" s="12">
        <f>'P&amp;L'!D8/3/30*'General Dashboard'!$I$7</f>
        <v>0</v>
      </c>
      <c r="E21" s="12">
        <f>'P&amp;L'!E8/3/30*'General Dashboard'!$I$7</f>
        <v>0</v>
      </c>
      <c r="F21" s="12">
        <f>'P&amp;L'!F8/3/30*'General Dashboard'!$I$7</f>
        <v>0</v>
      </c>
      <c r="G21" s="13"/>
      <c r="H21" s="12">
        <f t="shared" ref="H21:H24" si="14">F21</f>
        <v>0</v>
      </c>
      <c r="I21" s="12">
        <f ca="1">'P&amp;L'!I8/12/30*'General Dashboard'!$I$7</f>
        <v>0</v>
      </c>
      <c r="J21" s="12">
        <f ca="1">'P&amp;L'!J8/12/30*'General Dashboard'!$I$7</f>
        <v>0</v>
      </c>
      <c r="K21" s="12">
        <f ca="1">'P&amp;L'!K8/12/30*'General Dashboard'!$I$7</f>
        <v>0</v>
      </c>
      <c r="L21" s="12">
        <f ca="1">'P&amp;L'!L8/12/30*'General Dashboard'!$I$7</f>
        <v>0</v>
      </c>
      <c r="M21" s="5"/>
    </row>
    <row r="22" spans="1:14" ht="15.75" customHeight="1">
      <c r="A22" s="5"/>
      <c r="B22" s="11" t="s">
        <v>81</v>
      </c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5"/>
    </row>
    <row r="23" spans="1:14" ht="15.75" customHeight="1">
      <c r="A23" s="5"/>
      <c r="B23" s="11" t="s">
        <v>82</v>
      </c>
      <c r="C23" s="12">
        <v>0</v>
      </c>
      <c r="D23" s="12">
        <v>0</v>
      </c>
      <c r="E23" s="12">
        <v>0</v>
      </c>
      <c r="F23" s="12">
        <v>0</v>
      </c>
      <c r="G23" s="13"/>
      <c r="H23" s="12">
        <f t="shared" si="14"/>
        <v>0</v>
      </c>
      <c r="I23" s="12">
        <v>0</v>
      </c>
      <c r="J23" s="12">
        <v>0</v>
      </c>
      <c r="K23" s="12">
        <v>0</v>
      </c>
      <c r="L23" s="12">
        <v>0</v>
      </c>
      <c r="M23" s="5"/>
    </row>
    <row r="24" spans="1:14" ht="15.75" customHeight="1">
      <c r="A24" s="5"/>
      <c r="B24" s="11" t="s">
        <v>83</v>
      </c>
      <c r="C24" s="12">
        <v>0</v>
      </c>
      <c r="D24" s="12">
        <v>0</v>
      </c>
      <c r="E24" s="12">
        <v>0</v>
      </c>
      <c r="F24" s="12">
        <v>0</v>
      </c>
      <c r="G24" s="13"/>
      <c r="H24" s="12">
        <f t="shared" si="14"/>
        <v>0</v>
      </c>
      <c r="I24" s="12">
        <v>0</v>
      </c>
      <c r="J24" s="12">
        <v>0</v>
      </c>
      <c r="K24" s="12">
        <v>0</v>
      </c>
      <c r="L24" s="12">
        <v>0</v>
      </c>
      <c r="M24" s="5"/>
    </row>
    <row r="25" spans="1:14" ht="15.75" customHeight="1">
      <c r="A25" s="5"/>
      <c r="B25" s="8" t="s">
        <v>84</v>
      </c>
      <c r="C25" s="14">
        <f t="shared" ref="C25:F25" ca="1" si="15">SUM(C20:C24)</f>
        <v>2343.1686000000004</v>
      </c>
      <c r="D25" s="14">
        <f t="shared" ca="1" si="15"/>
        <v>4686.3372000000008</v>
      </c>
      <c r="E25" s="14">
        <f t="shared" ca="1" si="15"/>
        <v>7029.5058000000008</v>
      </c>
      <c r="F25" s="14">
        <f t="shared" ca="1" si="15"/>
        <v>9372.6744000000017</v>
      </c>
      <c r="G25" s="15"/>
      <c r="H25" s="14">
        <f t="shared" ref="H25:L25" ca="1" si="16">SUM(H20:H24)</f>
        <v>9372.6744000000017</v>
      </c>
      <c r="I25" s="14">
        <f t="shared" ca="1" si="16"/>
        <v>14087.556415200002</v>
      </c>
      <c r="J25" s="14">
        <f t="shared" ca="1" si="16"/>
        <v>19215.871353285609</v>
      </c>
      <c r="K25" s="14">
        <f t="shared" ca="1" si="16"/>
        <v>24777.691443203908</v>
      </c>
      <c r="L25" s="14">
        <f t="shared" ca="1" si="16"/>
        <v>30759.782055512387</v>
      </c>
      <c r="M25" s="5"/>
    </row>
    <row r="26" spans="1:14" ht="15.75" customHeight="1">
      <c r="A26" s="5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5"/>
    </row>
    <row r="27" spans="1:14" ht="15.75" customHeight="1">
      <c r="A27" s="5"/>
      <c r="B27" s="8" t="s">
        <v>85</v>
      </c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5"/>
    </row>
    <row r="28" spans="1:14" ht="15.75" customHeight="1">
      <c r="A28" s="5"/>
      <c r="B28" s="16" t="s">
        <v>86</v>
      </c>
      <c r="C28" s="12">
        <v>0</v>
      </c>
      <c r="D28" s="12">
        <v>0</v>
      </c>
      <c r="E28" s="12">
        <v>0</v>
      </c>
      <c r="F28" s="12">
        <v>0</v>
      </c>
      <c r="G28" s="13"/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5"/>
    </row>
    <row r="29" spans="1:14" ht="15.75" customHeight="1">
      <c r="A29" s="5"/>
      <c r="B29" s="16" t="s">
        <v>87</v>
      </c>
      <c r="C29" s="12">
        <v>0</v>
      </c>
      <c r="D29" s="12">
        <v>0</v>
      </c>
      <c r="E29" s="12">
        <v>0</v>
      </c>
      <c r="F29" s="12">
        <v>0</v>
      </c>
      <c r="G29" s="13"/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5"/>
      <c r="N29" s="16"/>
    </row>
    <row r="30" spans="1:14" ht="15.75" customHeight="1">
      <c r="A30" s="5"/>
      <c r="B30" s="16" t="s">
        <v>88</v>
      </c>
      <c r="C30" s="12">
        <f ca="1">Tax!C17</f>
        <v>0</v>
      </c>
      <c r="D30" s="12">
        <f ca="1">SUM(Tax!$C$17:'Tax'!D17)</f>
        <v>0</v>
      </c>
      <c r="E30" s="12">
        <f ca="1">SUM(Tax!$C$17:'Tax'!E17)</f>
        <v>0</v>
      </c>
      <c r="F30" s="12">
        <f ca="1">SUM(Tax!$C$17:'Tax'!F17)</f>
        <v>0</v>
      </c>
      <c r="G30" s="13"/>
      <c r="H30" s="12">
        <f t="shared" ref="H30:H33" ca="1" si="17">F30</f>
        <v>0</v>
      </c>
      <c r="I30" s="12">
        <f ca="1">Tax!I17</f>
        <v>0</v>
      </c>
      <c r="J30" s="12">
        <f ca="1">Tax!J17</f>
        <v>0</v>
      </c>
      <c r="K30" s="12">
        <f ca="1">Tax!K17</f>
        <v>0</v>
      </c>
      <c r="L30" s="12">
        <f ca="1">Tax!L17</f>
        <v>-34.125104521132378</v>
      </c>
      <c r="M30" s="5"/>
    </row>
    <row r="31" spans="1:14" ht="15.75" customHeight="1">
      <c r="A31" s="5"/>
      <c r="B31" s="16" t="s">
        <v>89</v>
      </c>
      <c r="C31" s="12">
        <f>IF('Community Shares'!$C$5="No",-'Community Shares'!$C$9/4,0)</f>
        <v>-1300.875</v>
      </c>
      <c r="D31" s="12">
        <f>IF('Community Shares'!$C$5="No",-'Community Shares'!$C$9/4,0)+C31</f>
        <v>-2601.75</v>
      </c>
      <c r="E31" s="12">
        <f>IF('Community Shares'!$C$5="No",-'Community Shares'!$C$9/4,0)+D31</f>
        <v>-3902.625</v>
      </c>
      <c r="F31" s="12">
        <f>IF('Community Shares'!$C$5="No",-'Community Shares'!$C$9/4,0)+E31</f>
        <v>-5203.5</v>
      </c>
      <c r="G31" s="13"/>
      <c r="H31" s="12">
        <f t="shared" si="17"/>
        <v>-5203.5</v>
      </c>
      <c r="I31" s="12">
        <f>IF('Community Shares'!$C$5="No",-'Community Shares'!D$9,0)</f>
        <v>-5203.5</v>
      </c>
      <c r="J31" s="12">
        <f>IF('Community Shares'!$C$5="No",-'Community Shares'!E$9,0)</f>
        <v>-5203.5</v>
      </c>
      <c r="K31" s="12">
        <f>IF('Community Shares'!$C$5="No",-'Community Shares'!F$9,0)</f>
        <v>-5203.5</v>
      </c>
      <c r="L31" s="12">
        <f>IF('Community Shares'!$C$5="No",-'Community Shares'!G$9,0)</f>
        <v>-5203.5</v>
      </c>
      <c r="M31" s="5"/>
    </row>
    <row r="32" spans="1:14" ht="15.75" customHeight="1">
      <c r="A32" s="5"/>
      <c r="B32" s="16" t="s">
        <v>90</v>
      </c>
      <c r="C32" s="12">
        <v>0</v>
      </c>
      <c r="D32" s="12">
        <v>0</v>
      </c>
      <c r="E32" s="12">
        <v>0</v>
      </c>
      <c r="F32" s="12">
        <v>0</v>
      </c>
      <c r="G32" s="13"/>
      <c r="H32" s="12">
        <f t="shared" si="17"/>
        <v>0</v>
      </c>
      <c r="I32" s="12">
        <v>0</v>
      </c>
      <c r="J32" s="12">
        <v>0</v>
      </c>
      <c r="K32" s="12">
        <v>0</v>
      </c>
      <c r="L32" s="12">
        <v>0</v>
      </c>
      <c r="M32" s="5"/>
    </row>
    <row r="33" spans="1:13" ht="15.75" customHeight="1">
      <c r="A33" s="5"/>
      <c r="B33" s="16" t="s">
        <v>91</v>
      </c>
      <c r="C33" s="12">
        <v>0</v>
      </c>
      <c r="D33" s="12">
        <v>0</v>
      </c>
      <c r="E33" s="12">
        <v>0</v>
      </c>
      <c r="F33" s="12">
        <v>0</v>
      </c>
      <c r="G33" s="13"/>
      <c r="H33" s="12">
        <f t="shared" si="17"/>
        <v>0</v>
      </c>
      <c r="I33" s="12">
        <v>0</v>
      </c>
      <c r="J33" s="12">
        <v>0</v>
      </c>
      <c r="K33" s="12">
        <v>0</v>
      </c>
      <c r="L33" s="12">
        <v>0</v>
      </c>
      <c r="M33" s="5"/>
    </row>
    <row r="34" spans="1:13" ht="15.75" customHeight="1">
      <c r="A34" s="5"/>
      <c r="B34" s="16" t="s">
        <v>92</v>
      </c>
      <c r="C34" s="12">
        <v>0</v>
      </c>
      <c r="D34" s="12">
        <v>0</v>
      </c>
      <c r="E34" s="12">
        <v>0</v>
      </c>
      <c r="F34" s="12">
        <v>0</v>
      </c>
      <c r="G34" s="13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5"/>
    </row>
    <row r="35" spans="1:13" ht="15.75" customHeight="1">
      <c r="A35" s="5"/>
      <c r="B35" s="16" t="s">
        <v>93</v>
      </c>
      <c r="C35" s="12">
        <f>Mortgage!E68-Mortgage!D68</f>
        <v>0</v>
      </c>
      <c r="D35" s="12">
        <f>Mortgage!E72-Mortgage!D72</f>
        <v>0</v>
      </c>
      <c r="E35" s="12">
        <f>Mortgage!E76-Mortgage!D76</f>
        <v>0</v>
      </c>
      <c r="F35" s="12">
        <f>Mortgage!E80-Mortgage!D80</f>
        <v>0</v>
      </c>
      <c r="G35" s="13"/>
      <c r="H35" s="12">
        <f>F35</f>
        <v>0</v>
      </c>
      <c r="I35" s="12">
        <f>Mortgage!F63-Mortgage!E63</f>
        <v>0</v>
      </c>
      <c r="J35" s="12">
        <f>Mortgage!G63-Mortgage!F63</f>
        <v>0</v>
      </c>
      <c r="K35" s="12">
        <f>Mortgage!H63-Mortgage!G63</f>
        <v>0</v>
      </c>
      <c r="L35" s="12">
        <f>Mortgage!I63-Mortgage!H63</f>
        <v>0</v>
      </c>
      <c r="M35" s="5"/>
    </row>
    <row r="36" spans="1:13" ht="15.75" customHeight="1">
      <c r="A36" s="5"/>
      <c r="B36" s="16" t="s">
        <v>94</v>
      </c>
      <c r="C36" s="12">
        <v>0</v>
      </c>
      <c r="D36" s="12">
        <v>0</v>
      </c>
      <c r="E36" s="12">
        <v>0</v>
      </c>
      <c r="F36" s="12">
        <v>0</v>
      </c>
      <c r="G36" s="13"/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5"/>
    </row>
    <row r="37" spans="1:13" ht="15.75" customHeight="1">
      <c r="A37" s="5"/>
      <c r="B37" s="8" t="s">
        <v>95</v>
      </c>
      <c r="C37" s="18">
        <f t="shared" ref="C37:F37" ca="1" si="18">SUM(C28:C36)</f>
        <v>-1300.875</v>
      </c>
      <c r="D37" s="18">
        <f t="shared" ca="1" si="18"/>
        <v>-2601.75</v>
      </c>
      <c r="E37" s="18">
        <f t="shared" ca="1" si="18"/>
        <v>-3902.625</v>
      </c>
      <c r="F37" s="18">
        <f t="shared" ca="1" si="18"/>
        <v>-5203.5</v>
      </c>
      <c r="G37" s="13"/>
      <c r="H37" s="18">
        <f t="shared" ref="H37:L37" ca="1" si="19">SUM(H28:H36)</f>
        <v>-5203.5</v>
      </c>
      <c r="I37" s="18">
        <f t="shared" ca="1" si="19"/>
        <v>-5203.5</v>
      </c>
      <c r="J37" s="18">
        <f t="shared" ca="1" si="19"/>
        <v>-5203.5</v>
      </c>
      <c r="K37" s="18">
        <f t="shared" ca="1" si="19"/>
        <v>-5203.5</v>
      </c>
      <c r="L37" s="18">
        <f t="shared" ca="1" si="19"/>
        <v>-5237.625104521132</v>
      </c>
      <c r="M37" s="5"/>
    </row>
    <row r="38" spans="1:13" ht="15.75" customHeight="1">
      <c r="A38" s="5"/>
      <c r="C38" s="12"/>
      <c r="D38" s="12"/>
      <c r="E38" s="12"/>
      <c r="F38" s="12"/>
      <c r="G38" s="13"/>
      <c r="H38" s="12"/>
      <c r="I38" s="12"/>
      <c r="J38" s="12"/>
      <c r="K38" s="12"/>
      <c r="L38" s="12"/>
      <c r="M38" s="5"/>
    </row>
    <row r="39" spans="1:13" ht="15.75" customHeight="1">
      <c r="A39" s="5"/>
      <c r="B39" s="8" t="s">
        <v>96</v>
      </c>
      <c r="C39" s="18">
        <f t="shared" ref="C39:F39" ca="1" si="20">C25+C37</f>
        <v>1042.2936000000004</v>
      </c>
      <c r="D39" s="18">
        <f t="shared" ca="1" si="20"/>
        <v>2084.5872000000008</v>
      </c>
      <c r="E39" s="18">
        <f t="shared" ca="1" si="20"/>
        <v>3126.8808000000008</v>
      </c>
      <c r="F39" s="18">
        <f t="shared" ca="1" si="20"/>
        <v>4169.1744000000017</v>
      </c>
      <c r="G39" s="13"/>
      <c r="H39" s="18">
        <f t="shared" ref="H39:L39" ca="1" si="21">H25+H37</f>
        <v>4169.1744000000017</v>
      </c>
      <c r="I39" s="18">
        <f t="shared" ca="1" si="21"/>
        <v>8884.0564152000024</v>
      </c>
      <c r="J39" s="18">
        <f t="shared" ca="1" si="21"/>
        <v>14012.371353285609</v>
      </c>
      <c r="K39" s="18">
        <f t="shared" ca="1" si="21"/>
        <v>19574.191443203908</v>
      </c>
      <c r="L39" s="18">
        <f t="shared" ca="1" si="21"/>
        <v>25522.156950991255</v>
      </c>
      <c r="M39" s="5"/>
    </row>
    <row r="40" spans="1:13" ht="15.75" customHeight="1">
      <c r="A40" s="5"/>
      <c r="C40" s="12"/>
      <c r="D40" s="12"/>
      <c r="E40" s="12"/>
      <c r="F40" s="12"/>
      <c r="G40" s="13"/>
      <c r="H40" s="12"/>
      <c r="I40" s="12"/>
      <c r="J40" s="12"/>
      <c r="K40" s="12"/>
      <c r="L40" s="12"/>
      <c r="M40" s="5"/>
    </row>
    <row r="41" spans="1:13" ht="15.75" customHeight="1">
      <c r="A41" s="5"/>
      <c r="B41" s="8" t="s">
        <v>97</v>
      </c>
      <c r="C41" s="12"/>
      <c r="D41" s="12"/>
      <c r="E41" s="12"/>
      <c r="F41" s="12"/>
      <c r="G41" s="13"/>
      <c r="H41" s="12"/>
      <c r="I41" s="12"/>
      <c r="J41" s="12"/>
      <c r="K41" s="12"/>
      <c r="L41" s="12"/>
      <c r="M41" s="5"/>
    </row>
    <row r="42" spans="1:13" ht="15.75" customHeight="1">
      <c r="A42" s="5"/>
      <c r="B42" s="11" t="s">
        <v>98</v>
      </c>
      <c r="C42" s="12">
        <f>-Mortgage!E68</f>
        <v>0</v>
      </c>
      <c r="D42" s="12">
        <f>-Mortgage!E72</f>
        <v>0</v>
      </c>
      <c r="E42" s="12">
        <f>-Mortgage!E76</f>
        <v>0</v>
      </c>
      <c r="F42" s="12">
        <f>-Mortgage!E80</f>
        <v>0</v>
      </c>
      <c r="G42" s="13"/>
      <c r="H42" s="12">
        <f>F42</f>
        <v>0</v>
      </c>
      <c r="I42" s="12">
        <f>-Mortgage!F63</f>
        <v>0</v>
      </c>
      <c r="J42" s="12">
        <f>-Mortgage!G63</f>
        <v>0</v>
      </c>
      <c r="K42" s="12">
        <f>-Mortgage!H63</f>
        <v>0</v>
      </c>
      <c r="L42" s="12">
        <f>-Mortgage!I63</f>
        <v>0</v>
      </c>
      <c r="M42" s="5"/>
    </row>
    <row r="43" spans="1:13" ht="15.75" customHeight="1">
      <c r="A43" s="5"/>
      <c r="B43" s="11" t="s">
        <v>99</v>
      </c>
      <c r="C43" s="12">
        <v>0</v>
      </c>
      <c r="D43" s="12">
        <v>0</v>
      </c>
      <c r="E43" s="12">
        <v>0</v>
      </c>
      <c r="F43" s="12">
        <v>0</v>
      </c>
      <c r="G43" s="13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5"/>
    </row>
    <row r="44" spans="1:13" ht="15.75" customHeight="1">
      <c r="A44" s="5"/>
      <c r="B44" s="8" t="s">
        <v>100</v>
      </c>
      <c r="C44" s="18">
        <f t="shared" ref="C44:F44" si="22">SUM(C42:C43)</f>
        <v>0</v>
      </c>
      <c r="D44" s="18">
        <f t="shared" si="22"/>
        <v>0</v>
      </c>
      <c r="E44" s="18">
        <f t="shared" si="22"/>
        <v>0</v>
      </c>
      <c r="F44" s="18">
        <f t="shared" si="22"/>
        <v>0</v>
      </c>
      <c r="G44" s="13"/>
      <c r="H44" s="18">
        <f>F44</f>
        <v>0</v>
      </c>
      <c r="I44" s="18">
        <f t="shared" ref="I44:L44" si="23">SUM(I42:I43)</f>
        <v>0</v>
      </c>
      <c r="J44" s="18">
        <f t="shared" si="23"/>
        <v>0</v>
      </c>
      <c r="K44" s="18">
        <f t="shared" si="23"/>
        <v>0</v>
      </c>
      <c r="L44" s="18">
        <f t="shared" si="23"/>
        <v>0</v>
      </c>
      <c r="M44" s="5"/>
    </row>
    <row r="45" spans="1:13" ht="15.75" customHeight="1">
      <c r="A45" s="5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5"/>
    </row>
    <row r="46" spans="1:13" ht="15.75" customHeight="1">
      <c r="A46" s="5"/>
      <c r="B46" s="8" t="s">
        <v>101</v>
      </c>
      <c r="C46" s="18">
        <f t="shared" ref="C46:F46" ca="1" si="24">C17+C39+C44</f>
        <v>156594.37693333335</v>
      </c>
      <c r="D46" s="18">
        <f t="shared" ca="1" si="24"/>
        <v>158188.7538666667</v>
      </c>
      <c r="E46" s="18">
        <f t="shared" ca="1" si="24"/>
        <v>159783.13080000004</v>
      </c>
      <c r="F46" s="18">
        <f t="shared" ca="1" si="24"/>
        <v>161377.50773333336</v>
      </c>
      <c r="G46" s="13"/>
      <c r="H46" s="18">
        <f ca="1">F46</f>
        <v>161377.50773333336</v>
      </c>
      <c r="I46" s="18">
        <f t="shared" ref="I46:L46" ca="1" si="25">I17+I39+I44</f>
        <v>168397.59808186669</v>
      </c>
      <c r="J46" s="18">
        <f t="shared" ca="1" si="25"/>
        <v>175930.41822828565</v>
      </c>
      <c r="K46" s="18">
        <f t="shared" ca="1" si="25"/>
        <v>183998.52282341226</v>
      </c>
      <c r="L46" s="18">
        <f t="shared" ca="1" si="25"/>
        <v>192557.0966157048</v>
      </c>
      <c r="M46" s="5"/>
    </row>
    <row r="47" spans="1:13" ht="15.75" customHeight="1">
      <c r="A47" s="5"/>
      <c r="B47" s="16" t="s">
        <v>102</v>
      </c>
      <c r="C47" s="19"/>
      <c r="D47" s="19"/>
      <c r="E47" s="19"/>
      <c r="F47" s="19"/>
      <c r="G47" s="13"/>
      <c r="H47" s="19"/>
      <c r="I47" s="19"/>
      <c r="J47" s="19"/>
      <c r="K47" s="19"/>
      <c r="L47" s="19"/>
      <c r="M47" s="5"/>
    </row>
    <row r="48" spans="1:13" ht="15.75" customHeight="1">
      <c r="A48" s="5"/>
      <c r="B48" s="16" t="s">
        <v>103</v>
      </c>
      <c r="C48" s="12">
        <f ca="1">'P&amp;L'!C34</f>
        <v>-7477.0583999999999</v>
      </c>
      <c r="D48" s="12">
        <f ca="1">C48+'P&amp;L'!D34</f>
        <v>-5504.1167999999998</v>
      </c>
      <c r="E48" s="12">
        <f ca="1">D48+'P&amp;L'!E34</f>
        <v>-3531.1751999999997</v>
      </c>
      <c r="F48" s="12">
        <f ca="1">E48+'P&amp;L'!F34</f>
        <v>-1558.2335999999996</v>
      </c>
      <c r="G48" s="13"/>
      <c r="H48" s="12">
        <f ca="1">F48</f>
        <v>-1558.2335999999996</v>
      </c>
      <c r="I48" s="12">
        <f ca="1">H48+'P&amp;L'!I34</f>
        <v>1634.2749912000036</v>
      </c>
      <c r="J48" s="12">
        <f ca="1">I48+'P&amp;L'!J34</f>
        <v>5197.5900494136058</v>
      </c>
      <c r="K48" s="12">
        <f ca="1">J48+'P&amp;L'!K34</f>
        <v>9150.590262823489</v>
      </c>
      <c r="L48" s="12">
        <f ca="1">K48+'P&amp;L'!L34</f>
        <v>13478.81404208132</v>
      </c>
      <c r="M48" s="5"/>
    </row>
    <row r="49" spans="1:13" ht="15.75" customHeight="1">
      <c r="A49" s="5"/>
      <c r="B49" s="16" t="s">
        <v>32</v>
      </c>
      <c r="C49" s="12">
        <f>'Community Shares'!C3-C31</f>
        <v>174750.875</v>
      </c>
      <c r="D49" s="12">
        <f t="shared" ref="D49:F49" si="26">C49-D31</f>
        <v>177352.625</v>
      </c>
      <c r="E49" s="12">
        <f t="shared" si="26"/>
        <v>181255.25</v>
      </c>
      <c r="F49" s="12">
        <f t="shared" si="26"/>
        <v>186458.75</v>
      </c>
      <c r="G49" s="13"/>
      <c r="H49" s="12">
        <f>'Community Shares'!C12</f>
        <v>173450</v>
      </c>
      <c r="I49" s="12">
        <f>'Community Shares'!D12</f>
        <v>173450</v>
      </c>
      <c r="J49" s="12">
        <f>'Community Shares'!E12</f>
        <v>173450</v>
      </c>
      <c r="K49" s="12">
        <f>'Community Shares'!F12</f>
        <v>173450</v>
      </c>
      <c r="L49" s="12">
        <f>'Community Shares'!G12</f>
        <v>173450</v>
      </c>
      <c r="M49" s="5"/>
    </row>
    <row r="50" spans="1:13" ht="15.75" customHeight="1">
      <c r="A50" s="5"/>
      <c r="B50" s="5"/>
      <c r="C50" s="17"/>
      <c r="D50" s="17"/>
      <c r="E50" s="17"/>
      <c r="F50" s="17"/>
      <c r="G50" s="13"/>
      <c r="H50" s="17"/>
      <c r="I50" s="17"/>
      <c r="J50" s="17"/>
      <c r="K50" s="17"/>
      <c r="L50" s="17"/>
      <c r="M50" s="5"/>
    </row>
    <row r="51" spans="1:13" ht="15.75" customHeight="1">
      <c r="B51" s="16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5.75" customHeight="1">
      <c r="B52" s="16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3" ht="15.75" customHeight="1">
      <c r="H53" s="12"/>
      <c r="I53" s="12"/>
      <c r="J53" s="12"/>
      <c r="K53" s="12"/>
      <c r="L53" s="12"/>
    </row>
  </sheetData>
  <pageMargins left="0.39370078740157483" right="0.39370078740157483" top="0.39370078740157483" bottom="0.3937007874015748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P1000"/>
  <sheetViews>
    <sheetView topLeftCell="A20" workbookViewId="0">
      <selection activeCell="L33" sqref="L33"/>
    </sheetView>
  </sheetViews>
  <sheetFormatPr defaultColWidth="12.7109375" defaultRowHeight="15.75" customHeight="1"/>
  <cols>
    <col min="1" max="1" width="2.140625" customWidth="1"/>
    <col min="2" max="2" width="10.140625" customWidth="1"/>
    <col min="3" max="3" width="11.140625" bestFit="1" customWidth="1"/>
    <col min="4" max="4" width="10.140625" customWidth="1"/>
    <col min="5" max="5" width="13.28515625" customWidth="1"/>
    <col min="6" max="6" width="10.140625" customWidth="1"/>
    <col min="7" max="8" width="11.140625" bestFit="1" customWidth="1"/>
    <col min="9" max="9" width="10.140625" customWidth="1"/>
    <col min="10" max="10" width="12.85546875" customWidth="1"/>
    <col min="11" max="14" width="10.140625" customWidth="1"/>
    <col min="15" max="15" width="15.5703125" customWidth="1"/>
    <col min="16" max="16" width="10.140625" customWidth="1"/>
    <col min="17" max="26" width="7" customWidth="1"/>
  </cols>
  <sheetData>
    <row r="1" spans="2:16" ht="17.25" customHeight="1">
      <c r="B1" s="738" t="s">
        <v>138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1"/>
    </row>
    <row r="2" spans="2:16" ht="12.75" customHeight="1"/>
    <row r="3" spans="2:16" ht="12.75" customHeight="1">
      <c r="B3" s="742" t="str">
        <f>B18</f>
        <v>SDLT – England / NI</v>
      </c>
      <c r="C3" s="743"/>
      <c r="D3" s="743"/>
      <c r="E3" s="744"/>
      <c r="G3" s="742" t="str">
        <f>G18</f>
        <v>LBTT – Scotland</v>
      </c>
      <c r="H3" s="743"/>
      <c r="I3" s="743"/>
      <c r="J3" s="744"/>
      <c r="L3" s="742" t="str">
        <f>L18</f>
        <v>LTT – Wales</v>
      </c>
      <c r="M3" s="743"/>
      <c r="N3" s="743"/>
      <c r="O3" s="744"/>
    </row>
    <row r="4" spans="2:16" ht="12.75" customHeight="1">
      <c r="B4" s="46"/>
      <c r="E4" s="70"/>
      <c r="G4" s="46"/>
      <c r="J4" s="70"/>
      <c r="L4" s="46"/>
      <c r="O4" s="70"/>
    </row>
    <row r="5" spans="2:16" ht="24" customHeight="1">
      <c r="B5" s="745" t="str">
        <f>B20</f>
        <v>Band</v>
      </c>
      <c r="C5" s="746"/>
      <c r="D5" s="51" t="str">
        <f t="shared" ref="D5:E5" si="0">D20</f>
        <v>Rate</v>
      </c>
      <c r="E5" s="71" t="str">
        <f t="shared" si="0"/>
        <v>Full cost of band</v>
      </c>
      <c r="G5" s="745" t="str">
        <f>G20</f>
        <v>Band</v>
      </c>
      <c r="H5" s="746"/>
      <c r="I5" s="51" t="str">
        <f t="shared" ref="I5:J5" si="1">I20</f>
        <v>Rate</v>
      </c>
      <c r="J5" s="71" t="str">
        <f t="shared" si="1"/>
        <v>Full cost of band</v>
      </c>
      <c r="L5" s="745" t="str">
        <f>L20</f>
        <v>Band</v>
      </c>
      <c r="M5" s="746"/>
      <c r="N5" s="51" t="str">
        <f t="shared" ref="N5:O5" si="2">N20</f>
        <v>Rate</v>
      </c>
      <c r="O5" s="71" t="str">
        <f t="shared" si="2"/>
        <v>Full cost of band</v>
      </c>
    </row>
    <row r="6" spans="2:16" ht="14.25" customHeight="1">
      <c r="B6" s="72">
        <v>0</v>
      </c>
      <c r="C6" s="73">
        <v>150000</v>
      </c>
      <c r="D6" s="74">
        <v>0</v>
      </c>
      <c r="E6" s="75">
        <f>C6*D6</f>
        <v>0</v>
      </c>
      <c r="G6" s="72">
        <v>0</v>
      </c>
      <c r="H6" s="22">
        <v>150000</v>
      </c>
      <c r="I6" s="74">
        <v>0</v>
      </c>
      <c r="J6" s="47">
        <f>H6*I6</f>
        <v>0</v>
      </c>
      <c r="L6" s="72">
        <v>0</v>
      </c>
      <c r="M6" s="22">
        <v>150000</v>
      </c>
      <c r="N6" s="74">
        <v>0</v>
      </c>
      <c r="O6" s="47">
        <f>M6*N6</f>
        <v>0</v>
      </c>
    </row>
    <row r="7" spans="2:16" ht="12.75" customHeight="1">
      <c r="B7" s="46"/>
      <c r="C7" s="76"/>
      <c r="E7" s="75"/>
      <c r="G7" s="46"/>
      <c r="J7" s="70"/>
      <c r="L7" s="46"/>
      <c r="O7" s="70"/>
    </row>
    <row r="8" spans="2:16" ht="14.25" customHeight="1">
      <c r="B8" s="72">
        <v>150001</v>
      </c>
      <c r="C8" s="73">
        <v>250000</v>
      </c>
      <c r="D8" s="74">
        <v>0.02</v>
      </c>
      <c r="E8" s="75">
        <f>(C8-C6)*D8</f>
        <v>2000</v>
      </c>
      <c r="G8" s="72">
        <v>150001</v>
      </c>
      <c r="H8" s="22">
        <v>250000</v>
      </c>
      <c r="I8" s="74">
        <v>0.01</v>
      </c>
      <c r="J8" s="47">
        <f>(H8-H6)*I8</f>
        <v>1000</v>
      </c>
      <c r="L8" s="72">
        <v>150001</v>
      </c>
      <c r="M8" s="22">
        <v>250000</v>
      </c>
      <c r="N8" s="74">
        <v>0.01</v>
      </c>
      <c r="O8" s="47">
        <f>(M8-M6)*N8</f>
        <v>1000</v>
      </c>
    </row>
    <row r="9" spans="2:16" ht="12.75" customHeight="1">
      <c r="B9" s="46"/>
      <c r="C9" s="76"/>
      <c r="E9" s="75"/>
      <c r="G9" s="46"/>
      <c r="J9" s="70"/>
      <c r="L9" s="46"/>
      <c r="O9" s="70"/>
    </row>
    <row r="10" spans="2:16" ht="14.25" customHeight="1">
      <c r="B10" s="77" t="s">
        <v>155</v>
      </c>
      <c r="C10" s="73">
        <v>250000</v>
      </c>
      <c r="D10" s="74">
        <v>0.05</v>
      </c>
      <c r="E10" s="75"/>
      <c r="G10" s="46" t="s">
        <v>155</v>
      </c>
      <c r="H10" s="22">
        <v>250000</v>
      </c>
      <c r="I10" s="74">
        <v>0.05</v>
      </c>
      <c r="J10" s="70"/>
      <c r="L10" s="72">
        <v>250001</v>
      </c>
      <c r="M10" s="22">
        <v>1000000</v>
      </c>
      <c r="N10" s="74">
        <v>0.05</v>
      </c>
      <c r="O10" s="47">
        <f>(M10-M8)*N10</f>
        <v>37500</v>
      </c>
    </row>
    <row r="11" spans="2:16" ht="12.75" customHeight="1">
      <c r="B11" s="46"/>
      <c r="D11" s="78" t="s">
        <v>156</v>
      </c>
      <c r="E11" s="79">
        <f>IF('Start Up Costs'!$D$14&lt;C6,'Start Up Costs'!$D$14*D6,IF('Start Up Costs'!$D$14&lt;C8,(D8*('Start Up Costs'!$D$14-C8)+E6),('Start Up Costs'!$D$14-C10)*D10+SUM(E6:E8)))</f>
        <v>-2000</v>
      </c>
      <c r="G11" s="46"/>
      <c r="I11" s="78" t="s">
        <v>156</v>
      </c>
      <c r="J11" s="79">
        <f>IF('Start Up Costs'!$D$14&lt;H6,'Start Up Costs'!$D$14*I6,IF('Start Up Costs'!$D$14&lt;H8,(I8*('Start Up Costs'!$D$14-H8)+J6),('Start Up Costs'!$D$14-H10)*I10+SUM(J6:J8)))</f>
        <v>-1000</v>
      </c>
      <c r="L11" s="46"/>
      <c r="O11" s="80"/>
    </row>
    <row r="12" spans="2:16" ht="35.25" customHeight="1">
      <c r="B12" s="735" t="s">
        <v>157</v>
      </c>
      <c r="C12" s="736"/>
      <c r="D12" s="736"/>
      <c r="E12" s="737"/>
      <c r="G12" s="735" t="s">
        <v>158</v>
      </c>
      <c r="H12" s="736"/>
      <c r="I12" s="736"/>
      <c r="J12" s="737"/>
      <c r="L12" s="46" t="s">
        <v>155</v>
      </c>
      <c r="M12" s="22">
        <v>1000000</v>
      </c>
      <c r="N12" s="74">
        <v>0.06</v>
      </c>
      <c r="O12" s="70"/>
    </row>
    <row r="13" spans="2:16" ht="12.75" customHeight="1">
      <c r="L13" s="46"/>
      <c r="N13" s="78" t="s">
        <v>156</v>
      </c>
      <c r="O13" s="81">
        <f>IF('Start Up Costs'!$D$14&lt;M6,'Start Up Costs'!$D$14*N6,IF('Start Up Costs'!$D$14&lt;M8,(N8*('Start Up Costs'!$D$14-M8)+O6),IF('Start Up Costs'!$D$14&lt;M10,N10*('Start Up Costs'!$D$14-M8)+SUM(O6:O8),('Start Up Costs'!$D$14-M10)*N12+SUM(O6:O10))))</f>
        <v>-1000</v>
      </c>
    </row>
    <row r="14" spans="2:16" ht="35.25" customHeight="1">
      <c r="C14" s="22"/>
      <c r="L14" s="735" t="s">
        <v>159</v>
      </c>
      <c r="M14" s="736"/>
      <c r="N14" s="736"/>
      <c r="O14" s="737"/>
      <c r="P14" s="82"/>
    </row>
    <row r="15" spans="2:16" ht="12.75" customHeight="1"/>
    <row r="16" spans="2:16" ht="17.25" customHeight="1">
      <c r="B16" s="738" t="s">
        <v>160</v>
      </c>
      <c r="C16" s="730"/>
      <c r="D16" s="730"/>
      <c r="E16" s="730"/>
      <c r="F16" s="730"/>
      <c r="G16" s="730"/>
      <c r="H16" s="730"/>
      <c r="I16" s="730"/>
      <c r="J16" s="730"/>
      <c r="K16" s="730"/>
      <c r="L16" s="730"/>
      <c r="M16" s="730"/>
      <c r="N16" s="730"/>
      <c r="O16" s="731"/>
    </row>
    <row r="17" spans="2:15" ht="12.75" customHeight="1"/>
    <row r="18" spans="2:15" ht="14.25" customHeight="1">
      <c r="B18" s="739" t="s">
        <v>161</v>
      </c>
      <c r="C18" s="740"/>
      <c r="D18" s="740"/>
      <c r="E18" s="741"/>
      <c r="F18" s="147"/>
      <c r="G18" s="739" t="s">
        <v>162</v>
      </c>
      <c r="H18" s="740"/>
      <c r="I18" s="740"/>
      <c r="J18" s="741"/>
      <c r="K18" s="147"/>
      <c r="L18" s="739" t="s">
        <v>163</v>
      </c>
      <c r="M18" s="740"/>
      <c r="N18" s="740"/>
      <c r="O18" s="741"/>
    </row>
    <row r="19" spans="2:15" ht="14.25" customHeight="1">
      <c r="B19" s="159"/>
      <c r="C19" s="141"/>
      <c r="D19" s="141"/>
      <c r="E19" s="160"/>
      <c r="F19" s="147"/>
      <c r="G19" s="159"/>
      <c r="H19" s="141"/>
      <c r="I19" s="141"/>
      <c r="J19" s="160"/>
      <c r="K19" s="147"/>
      <c r="L19" s="422"/>
      <c r="M19" s="141"/>
      <c r="N19" s="141"/>
      <c r="O19" s="160"/>
    </row>
    <row r="20" spans="2:15" ht="26.25" customHeight="1">
      <c r="B20" s="750" t="s">
        <v>164</v>
      </c>
      <c r="C20" s="748"/>
      <c r="D20" s="142" t="s">
        <v>165</v>
      </c>
      <c r="E20" s="161" t="s">
        <v>166</v>
      </c>
      <c r="F20" s="147"/>
      <c r="G20" s="750" t="s">
        <v>164</v>
      </c>
      <c r="H20" s="748"/>
      <c r="I20" s="142" t="s">
        <v>165</v>
      </c>
      <c r="J20" s="161" t="s">
        <v>166</v>
      </c>
      <c r="K20" s="147"/>
      <c r="L20" s="750" t="s">
        <v>164</v>
      </c>
      <c r="M20" s="748"/>
      <c r="N20" s="142" t="s">
        <v>165</v>
      </c>
      <c r="O20" s="161" t="s">
        <v>166</v>
      </c>
    </row>
    <row r="21" spans="2:15" ht="14.25" customHeight="1">
      <c r="B21" s="162">
        <v>0</v>
      </c>
      <c r="C21" s="143">
        <v>125000</v>
      </c>
      <c r="D21" s="144">
        <v>0</v>
      </c>
      <c r="E21" s="163">
        <f>C21*D21</f>
        <v>0</v>
      </c>
      <c r="F21" s="147"/>
      <c r="G21" s="162">
        <v>0</v>
      </c>
      <c r="H21" s="151">
        <v>145000</v>
      </c>
      <c r="I21" s="152">
        <v>0</v>
      </c>
      <c r="J21" s="164">
        <f>H21*I21</f>
        <v>0</v>
      </c>
      <c r="K21" s="147"/>
      <c r="L21" s="162">
        <v>0</v>
      </c>
      <c r="M21" s="146">
        <v>180000</v>
      </c>
      <c r="N21" s="153">
        <v>0</v>
      </c>
      <c r="O21" s="160">
        <f>M21*N21</f>
        <v>0</v>
      </c>
    </row>
    <row r="22" spans="2:15" ht="14.25" customHeight="1">
      <c r="B22" s="162"/>
      <c r="C22" s="143"/>
      <c r="D22" s="145"/>
      <c r="E22" s="160"/>
      <c r="F22" s="147"/>
      <c r="G22" s="165"/>
      <c r="H22" s="151"/>
      <c r="I22" s="141"/>
      <c r="J22" s="164"/>
      <c r="K22" s="147"/>
      <c r="L22" s="165"/>
      <c r="M22" s="421"/>
      <c r="N22" s="141"/>
      <c r="O22" s="160"/>
    </row>
    <row r="23" spans="2:15" ht="14.25" customHeight="1">
      <c r="B23" s="162">
        <v>125001</v>
      </c>
      <c r="C23" s="143">
        <v>250000</v>
      </c>
      <c r="D23" s="144">
        <v>0.02</v>
      </c>
      <c r="E23" s="166">
        <f>(C23-C21)*D23</f>
        <v>2500</v>
      </c>
      <c r="F23" s="147"/>
      <c r="G23" s="167">
        <f>H21+1</f>
        <v>145001</v>
      </c>
      <c r="H23" s="151">
        <v>250000</v>
      </c>
      <c r="I23" s="152">
        <v>0.02</v>
      </c>
      <c r="J23" s="164">
        <f>(H23-H21)*I23</f>
        <v>2100</v>
      </c>
      <c r="K23" s="147"/>
      <c r="L23" s="165">
        <f>M21+1</f>
        <v>180001</v>
      </c>
      <c r="M23" s="146">
        <v>250000</v>
      </c>
      <c r="N23" s="153">
        <v>0.06</v>
      </c>
      <c r="O23" s="160">
        <f>(M23-M21)*N23</f>
        <v>4200</v>
      </c>
    </row>
    <row r="24" spans="2:15" ht="14.25" customHeight="1">
      <c r="B24" s="162"/>
      <c r="C24" s="143"/>
      <c r="D24" s="145"/>
      <c r="E24" s="160"/>
      <c r="F24" s="147"/>
      <c r="G24" s="165"/>
      <c r="H24" s="151"/>
      <c r="I24" s="141"/>
      <c r="J24" s="164"/>
      <c r="K24" s="147"/>
      <c r="L24" s="165"/>
      <c r="M24" s="421"/>
      <c r="N24" s="141"/>
      <c r="O24" s="160"/>
    </row>
    <row r="25" spans="2:15" ht="14.25" customHeight="1">
      <c r="B25" s="162">
        <v>250001</v>
      </c>
      <c r="C25" s="143">
        <v>925000</v>
      </c>
      <c r="D25" s="144">
        <v>0.05</v>
      </c>
      <c r="E25" s="166">
        <f>(C25-C23)*D25</f>
        <v>33750</v>
      </c>
      <c r="F25" s="147"/>
      <c r="G25" s="167">
        <f>H23+1</f>
        <v>250001</v>
      </c>
      <c r="H25" s="151">
        <v>325000</v>
      </c>
      <c r="I25" s="152">
        <v>0.05</v>
      </c>
      <c r="J25" s="164">
        <f>(H25-H23)*I25</f>
        <v>3750</v>
      </c>
      <c r="K25" s="147"/>
      <c r="L25" s="165">
        <f>M23+1</f>
        <v>250001</v>
      </c>
      <c r="M25" s="146">
        <v>400000</v>
      </c>
      <c r="N25" s="153">
        <v>7.4999999999999997E-2</v>
      </c>
      <c r="O25" s="160">
        <f>(M25-M23)*N25</f>
        <v>11250</v>
      </c>
    </row>
    <row r="26" spans="2:15" ht="14.25" customHeight="1">
      <c r="B26" s="162"/>
      <c r="C26" s="143"/>
      <c r="D26" s="145"/>
      <c r="E26" s="160"/>
      <c r="F26" s="147"/>
      <c r="G26" s="165"/>
      <c r="H26" s="151"/>
      <c r="I26" s="141"/>
      <c r="J26" s="164"/>
      <c r="K26" s="147"/>
      <c r="L26" s="165"/>
      <c r="M26" s="421"/>
      <c r="N26" s="141"/>
      <c r="O26" s="160"/>
    </row>
    <row r="27" spans="2:15" ht="14.25" customHeight="1">
      <c r="B27" s="165">
        <v>925001</v>
      </c>
      <c r="C27" s="146">
        <v>1500000</v>
      </c>
      <c r="D27" s="144">
        <v>0.1</v>
      </c>
      <c r="E27" s="166">
        <f>(C27-C25)*D27</f>
        <v>57500</v>
      </c>
      <c r="F27" s="147"/>
      <c r="G27" s="167">
        <f>H25+1</f>
        <v>325001</v>
      </c>
      <c r="H27" s="151">
        <v>750000</v>
      </c>
      <c r="I27" s="152">
        <v>0.1</v>
      </c>
      <c r="J27" s="164">
        <f>(H27-H25)*I27</f>
        <v>42500</v>
      </c>
      <c r="K27" s="147"/>
      <c r="L27" s="165">
        <f>M25+1</f>
        <v>400001</v>
      </c>
      <c r="M27" s="146">
        <v>750000</v>
      </c>
      <c r="N27" s="153">
        <v>0.1</v>
      </c>
      <c r="O27" s="160">
        <f>(M27-M25)*N27</f>
        <v>35000</v>
      </c>
    </row>
    <row r="28" spans="2:15" ht="14.25" customHeight="1">
      <c r="B28" s="165"/>
      <c r="C28" s="147"/>
      <c r="D28" s="147"/>
      <c r="E28" s="160"/>
      <c r="F28" s="147"/>
      <c r="G28" s="165"/>
      <c r="H28" s="151"/>
      <c r="I28" s="141"/>
      <c r="J28" s="160"/>
      <c r="K28" s="147"/>
      <c r="L28" s="165"/>
      <c r="M28" s="421"/>
      <c r="N28" s="141"/>
      <c r="O28" s="160"/>
    </row>
    <row r="29" spans="2:15" ht="14.25" customHeight="1">
      <c r="B29" s="168" t="s">
        <v>155</v>
      </c>
      <c r="C29" s="141">
        <v>1500000</v>
      </c>
      <c r="D29" s="144">
        <v>0.12</v>
      </c>
      <c r="E29" s="160"/>
      <c r="F29" s="147"/>
      <c r="G29" s="168" t="s">
        <v>155</v>
      </c>
      <c r="H29" s="154">
        <v>750000</v>
      </c>
      <c r="I29" s="152">
        <v>0.12</v>
      </c>
      <c r="J29" s="160"/>
      <c r="K29" s="147"/>
      <c r="L29" s="165">
        <f>M27+1</f>
        <v>750001</v>
      </c>
      <c r="M29" s="146">
        <v>1500000</v>
      </c>
      <c r="N29" s="153">
        <v>0.12</v>
      </c>
      <c r="O29" s="160">
        <f>(M29-M27)*N29</f>
        <v>90000</v>
      </c>
    </row>
    <row r="30" spans="2:15" ht="14.25" customHeight="1">
      <c r="B30" s="168"/>
      <c r="C30" s="141"/>
      <c r="D30" s="155"/>
      <c r="E30" s="160"/>
      <c r="F30" s="147"/>
      <c r="G30" s="168"/>
      <c r="H30" s="154"/>
      <c r="I30" s="156"/>
      <c r="J30" s="160"/>
      <c r="K30" s="147"/>
      <c r="L30" s="165"/>
      <c r="M30" s="421"/>
      <c r="N30" s="141"/>
      <c r="O30" s="166"/>
    </row>
    <row r="31" spans="2:15" ht="12.75">
      <c r="B31" s="168"/>
      <c r="C31" s="141"/>
      <c r="D31" s="155"/>
      <c r="E31" s="160"/>
      <c r="F31" s="147"/>
      <c r="G31" s="168"/>
      <c r="H31" s="154"/>
      <c r="I31" s="156"/>
      <c r="J31" s="160"/>
      <c r="K31" s="147"/>
      <c r="L31" s="168" t="s">
        <v>155</v>
      </c>
      <c r="M31" s="141">
        <v>1500000</v>
      </c>
      <c r="N31" s="153">
        <v>0.12</v>
      </c>
      <c r="O31" s="160"/>
    </row>
    <row r="32" spans="2:15" ht="12.75">
      <c r="B32" s="168"/>
      <c r="C32" s="141"/>
      <c r="D32" s="148" t="s">
        <v>156</v>
      </c>
      <c r="E32" s="169">
        <f>IF('Start Up Costs'!$D$14&lt;C21,D21*('Start Up Costs'!$D$14),IF('Start Up Costs'!$D$14&lt;C23,D23*('Start Up Costs'!$D$14-C21)+E21,IF('Start Up Costs'!$D$14&lt;C25,D25*('Start Up Costs'!$D$14-C23)+SUM(E21:E23),IF('Start Up Costs'!$D$14&lt;C27,D27*('Start Up Costs'!$D$14-C25)+SUM(E21:E25),D29*('Start Up Costs'!$D$14-C29)+SUM(E21:E27)))))</f>
        <v>500</v>
      </c>
      <c r="F32" s="147"/>
      <c r="G32" s="165"/>
      <c r="H32" s="147"/>
      <c r="I32" s="148" t="s">
        <v>156</v>
      </c>
      <c r="J32" s="170">
        <f>IF('Start Up Costs'!$D$14&lt;H21,I21*('Start Up Costs'!$D$14),IF('Start Up Costs'!$D$14&lt;H23,I23*('Start Up Costs'!$D$14-H21)+J21,IF('Start Up Costs'!$D$14&lt;H25,I25*('Start Up Costs'!$D$14-H23)+SUM(J21:J23),IF('Start Up Costs'!$D$14&lt;H27,I27*('Start Up Costs'!$D$14-H25)+SUM(J21:J25),I29*('Start Up Costs'!$D$14-H29)+SUM(J21:J27)))))</f>
        <v>100</v>
      </c>
      <c r="K32" s="147"/>
      <c r="L32" s="165"/>
      <c r="M32" s="421"/>
      <c r="N32" s="148" t="s">
        <v>156</v>
      </c>
      <c r="O32" s="169">
        <f>IF('Start Up Costs'!$D$14&lt;M21,N21*('Start Up Costs'!$D$14),IF('Start Up Costs'!$D$14&lt;M23,N23*('Start Up Costs'!$D$14-M21)+O21,IF('Start Up Costs'!$D$14&lt;M25,N25*('Start Up Costs'!$D$14-M23)+SUM(O21:O23),IF('Start Up Costs'!$D$14&lt;M27,N27*('Start Up Costs'!$D$14-M25)+SUM(O21:O25),IF('Start Up Costs'!$D$14&lt;M29,N29*('Start Up Costs'!$D$14-M27)+SUM(O21:O27),N31*('Start Up Costs'!$D$14-M31)+SUM(O21:O29))))))</f>
        <v>0</v>
      </c>
    </row>
    <row r="33" spans="2:15" ht="12.75">
      <c r="B33" s="171"/>
      <c r="C33" s="172"/>
      <c r="D33" s="173"/>
      <c r="E33" s="174"/>
      <c r="F33" s="147"/>
      <c r="G33" s="175"/>
      <c r="H33" s="176"/>
      <c r="I33" s="173"/>
      <c r="J33" s="177"/>
      <c r="K33" s="147"/>
      <c r="L33" s="175"/>
      <c r="M33" s="176"/>
      <c r="N33" s="173"/>
      <c r="O33" s="174"/>
    </row>
    <row r="34" spans="2:15" ht="12.75">
      <c r="B34" s="178"/>
      <c r="C34" s="141"/>
      <c r="D34" s="148"/>
      <c r="E34" s="179"/>
      <c r="F34" s="147"/>
      <c r="G34" s="141"/>
      <c r="H34" s="147"/>
      <c r="I34" s="148"/>
      <c r="J34" s="154"/>
      <c r="K34" s="147"/>
      <c r="L34" s="141"/>
      <c r="M34" s="421"/>
      <c r="N34" s="148"/>
      <c r="O34" s="179"/>
    </row>
    <row r="35" spans="2:15" ht="51.75" customHeight="1">
      <c r="B35" s="747" t="s">
        <v>167</v>
      </c>
      <c r="C35" s="748"/>
      <c r="D35" s="748"/>
      <c r="E35" s="731"/>
      <c r="F35" s="147"/>
      <c r="G35" s="747" t="s">
        <v>168</v>
      </c>
      <c r="H35" s="748"/>
      <c r="I35" s="748"/>
      <c r="J35" s="731"/>
      <c r="K35" s="147"/>
      <c r="L35" s="747" t="s">
        <v>170</v>
      </c>
      <c r="M35" s="748"/>
      <c r="N35" s="748"/>
      <c r="O35" s="731"/>
    </row>
    <row r="36" spans="2:15" ht="12.75" customHeight="1">
      <c r="B36" s="180"/>
      <c r="C36" s="147"/>
      <c r="D36" s="147"/>
      <c r="E36" s="135"/>
      <c r="F36" s="147"/>
      <c r="G36" s="180"/>
      <c r="H36" s="147"/>
      <c r="I36" s="147"/>
      <c r="J36" s="135"/>
      <c r="K36" s="147"/>
      <c r="L36" s="420"/>
      <c r="M36" s="421"/>
      <c r="N36" s="421"/>
      <c r="O36" s="419"/>
    </row>
    <row r="37" spans="2:15" ht="42" customHeight="1">
      <c r="B37" s="749" t="s">
        <v>231</v>
      </c>
      <c r="C37" s="731"/>
      <c r="D37" s="731"/>
      <c r="E37" s="731"/>
      <c r="F37" s="147"/>
      <c r="G37" s="749" t="s">
        <v>233</v>
      </c>
      <c r="H37" s="731"/>
      <c r="I37" s="731"/>
      <c r="J37" s="731"/>
      <c r="K37" s="147"/>
      <c r="L37" s="749" t="s">
        <v>169</v>
      </c>
      <c r="M37" s="731"/>
      <c r="N37" s="731"/>
      <c r="O37" s="731"/>
    </row>
    <row r="38" spans="2:15" ht="12.75" customHeight="1">
      <c r="B38" s="147"/>
      <c r="C38" s="149"/>
      <c r="D38" s="150"/>
      <c r="E38" s="147"/>
      <c r="F38" s="147"/>
      <c r="G38" s="147"/>
      <c r="H38" s="147"/>
      <c r="I38" s="147"/>
      <c r="J38" s="147"/>
      <c r="K38" s="147"/>
      <c r="L38" s="421"/>
      <c r="M38" s="421"/>
      <c r="N38" s="421"/>
      <c r="O38" s="421"/>
    </row>
    <row r="39" spans="2:15" ht="12.75" customHeight="1">
      <c r="B39" s="751" t="s">
        <v>232</v>
      </c>
      <c r="C39" s="752"/>
      <c r="D39" s="752"/>
      <c r="E39" s="753"/>
      <c r="F39" s="147"/>
      <c r="G39" s="751" t="s">
        <v>222</v>
      </c>
      <c r="H39" s="752"/>
      <c r="I39" s="752"/>
      <c r="J39" s="753"/>
      <c r="K39" s="147"/>
      <c r="L39" s="739" t="s">
        <v>325</v>
      </c>
      <c r="M39" s="740"/>
      <c r="N39" s="740"/>
      <c r="O39" s="741"/>
    </row>
    <row r="40" spans="2:15" ht="12.75" customHeight="1">
      <c r="B40" s="139"/>
      <c r="C40" s="141"/>
      <c r="D40" s="141"/>
      <c r="E40" s="70"/>
      <c r="F40" s="147"/>
      <c r="G40" s="139"/>
      <c r="H40" s="141"/>
      <c r="I40" s="141"/>
      <c r="J40" s="70"/>
      <c r="K40" s="147"/>
      <c r="L40" s="422"/>
      <c r="M40" s="141"/>
      <c r="N40" s="141"/>
      <c r="O40" s="160"/>
    </row>
    <row r="41" spans="2:15" ht="12.75" customHeight="1">
      <c r="B41" s="139" t="s">
        <v>164</v>
      </c>
      <c r="C41" s="142"/>
      <c r="D41" s="142" t="s">
        <v>165</v>
      </c>
      <c r="E41" s="83" t="s">
        <v>166</v>
      </c>
      <c r="F41" s="147"/>
      <c r="G41" s="139" t="s">
        <v>164</v>
      </c>
      <c r="H41" s="147"/>
      <c r="I41" s="142" t="s">
        <v>165</v>
      </c>
      <c r="J41" s="83" t="s">
        <v>166</v>
      </c>
      <c r="K41" s="147"/>
      <c r="L41" s="750" t="s">
        <v>164</v>
      </c>
      <c r="M41" s="748"/>
      <c r="N41" s="142" t="s">
        <v>165</v>
      </c>
      <c r="O41" s="161" t="s">
        <v>166</v>
      </c>
    </row>
    <row r="42" spans="2:15" ht="12.75" customHeight="1">
      <c r="B42" s="84">
        <v>0</v>
      </c>
      <c r="C42" s="143">
        <v>125000</v>
      </c>
      <c r="D42" s="144">
        <v>0.05</v>
      </c>
      <c r="E42" s="47">
        <f>C42*D42</f>
        <v>6250</v>
      </c>
      <c r="F42" s="147"/>
      <c r="G42" s="84">
        <v>0</v>
      </c>
      <c r="H42" s="151">
        <v>145000</v>
      </c>
      <c r="I42" s="152">
        <v>0.08</v>
      </c>
      <c r="J42" s="75">
        <f>H42*I42</f>
        <v>11600</v>
      </c>
      <c r="K42" s="147"/>
      <c r="L42" s="162">
        <v>0</v>
      </c>
      <c r="M42" s="146">
        <v>180000</v>
      </c>
      <c r="N42" s="153">
        <v>0.05</v>
      </c>
      <c r="O42" s="160">
        <f>M42*N42</f>
        <v>9000</v>
      </c>
    </row>
    <row r="43" spans="2:15" ht="12.75" customHeight="1">
      <c r="B43" s="84"/>
      <c r="C43" s="143"/>
      <c r="D43" s="145"/>
      <c r="E43" s="70"/>
      <c r="F43" s="147"/>
      <c r="G43" s="46"/>
      <c r="H43" s="151"/>
      <c r="I43" s="141"/>
      <c r="J43" s="75"/>
      <c r="K43" s="147"/>
      <c r="L43" s="165"/>
      <c r="M43" s="421"/>
      <c r="N43" s="141"/>
      <c r="O43" s="160"/>
    </row>
    <row r="44" spans="2:15" ht="12.75" customHeight="1">
      <c r="B44" s="84">
        <v>125001</v>
      </c>
      <c r="C44" s="143">
        <v>250000</v>
      </c>
      <c r="D44" s="144">
        <v>0.05</v>
      </c>
      <c r="E44" s="49">
        <f>(C44-C42)*D44</f>
        <v>6250</v>
      </c>
      <c r="F44" s="147"/>
      <c r="G44" s="85">
        <f>H42+1</f>
        <v>145001</v>
      </c>
      <c r="H44" s="151">
        <v>250000</v>
      </c>
      <c r="I44" s="152">
        <v>0.08</v>
      </c>
      <c r="J44" s="75">
        <f>(H44-H42)*I44</f>
        <v>8400</v>
      </c>
      <c r="K44" s="147"/>
      <c r="L44" s="165">
        <f>M42+1</f>
        <v>180001</v>
      </c>
      <c r="M44" s="146">
        <v>250000</v>
      </c>
      <c r="N44" s="153">
        <v>8.5000000000000006E-2</v>
      </c>
      <c r="O44" s="160">
        <f>(M44-M42)*N44</f>
        <v>5950</v>
      </c>
    </row>
    <row r="45" spans="2:15" ht="12.75" customHeight="1">
      <c r="B45" s="84"/>
      <c r="C45" s="143"/>
      <c r="D45" s="145"/>
      <c r="E45" s="70"/>
      <c r="F45" s="147"/>
      <c r="G45" s="46"/>
      <c r="H45" s="151"/>
      <c r="I45" s="141"/>
      <c r="J45" s="75"/>
      <c r="K45" s="147"/>
      <c r="L45" s="165"/>
      <c r="M45" s="421"/>
      <c r="N45" s="141"/>
      <c r="O45" s="160"/>
    </row>
    <row r="46" spans="2:15" ht="12.75" customHeight="1">
      <c r="B46" s="84">
        <v>250001</v>
      </c>
      <c r="C46" s="143">
        <v>925000</v>
      </c>
      <c r="D46" s="144">
        <v>0.05</v>
      </c>
      <c r="E46" s="49">
        <f>(C46-C44)*D46</f>
        <v>33750</v>
      </c>
      <c r="F46" s="147"/>
      <c r="G46" s="85">
        <f>H44+1</f>
        <v>250001</v>
      </c>
      <c r="H46" s="151">
        <v>325000</v>
      </c>
      <c r="I46" s="152">
        <v>0.08</v>
      </c>
      <c r="J46" s="75">
        <f>(H46-H44)*I46</f>
        <v>6000</v>
      </c>
      <c r="K46" s="147"/>
      <c r="L46" s="165">
        <f>M44+1</f>
        <v>250001</v>
      </c>
      <c r="M46" s="146">
        <v>400000</v>
      </c>
      <c r="N46" s="153">
        <v>0.1</v>
      </c>
      <c r="O46" s="160">
        <f>(M46-M44)*N46</f>
        <v>15000</v>
      </c>
    </row>
    <row r="47" spans="2:15" ht="12.75" customHeight="1">
      <c r="B47" s="84"/>
      <c r="C47" s="143"/>
      <c r="D47" s="145"/>
      <c r="E47" s="70"/>
      <c r="F47" s="147"/>
      <c r="G47" s="46"/>
      <c r="H47" s="151"/>
      <c r="I47" s="141"/>
      <c r="J47" s="75"/>
      <c r="K47" s="147"/>
      <c r="L47" s="165"/>
      <c r="M47" s="421"/>
      <c r="N47" s="141"/>
      <c r="O47" s="160"/>
    </row>
    <row r="48" spans="2:15" ht="12.75" customHeight="1">
      <c r="B48" s="46">
        <v>925001</v>
      </c>
      <c r="C48" s="146">
        <v>1500000</v>
      </c>
      <c r="D48" s="144">
        <v>0.05</v>
      </c>
      <c r="E48" s="49">
        <f>(C48-C46)*D48</f>
        <v>28750</v>
      </c>
      <c r="F48" s="147"/>
      <c r="G48" s="85">
        <f>H46+1</f>
        <v>325001</v>
      </c>
      <c r="H48" s="151">
        <v>750000</v>
      </c>
      <c r="I48" s="152">
        <v>0.08</v>
      </c>
      <c r="J48" s="75">
        <f>(H48-H46)*I48</f>
        <v>34000</v>
      </c>
      <c r="K48" s="147"/>
      <c r="L48" s="165">
        <f>M46+1</f>
        <v>400001</v>
      </c>
      <c r="M48" s="146">
        <v>750000</v>
      </c>
      <c r="N48" s="153">
        <v>0.125</v>
      </c>
      <c r="O48" s="160">
        <f>(M48-M46)*N48</f>
        <v>43750</v>
      </c>
    </row>
    <row r="49" spans="2:15" ht="12.75" customHeight="1">
      <c r="B49" s="46"/>
      <c r="C49" s="147"/>
      <c r="D49" s="147"/>
      <c r="E49" s="70"/>
      <c r="F49" s="147"/>
      <c r="G49" s="46"/>
      <c r="H49" s="151"/>
      <c r="I49" s="141"/>
      <c r="J49" s="70"/>
      <c r="K49" s="147"/>
      <c r="L49" s="165"/>
      <c r="M49" s="421"/>
      <c r="N49" s="141"/>
      <c r="O49" s="160"/>
    </row>
    <row r="50" spans="2:15" ht="12.75" customHeight="1">
      <c r="B50" s="86" t="s">
        <v>155</v>
      </c>
      <c r="C50" s="141">
        <v>1500000</v>
      </c>
      <c r="D50" s="144">
        <v>0.05</v>
      </c>
      <c r="E50" s="70"/>
      <c r="F50" s="147"/>
      <c r="G50" s="86" t="s">
        <v>155</v>
      </c>
      <c r="H50" s="154">
        <v>750000</v>
      </c>
      <c r="I50" s="152">
        <v>0.08</v>
      </c>
      <c r="J50" s="70"/>
      <c r="K50" s="147"/>
      <c r="L50" s="165">
        <f>M48+1</f>
        <v>750001</v>
      </c>
      <c r="M50" s="146">
        <v>1500000</v>
      </c>
      <c r="N50" s="153">
        <v>0.15</v>
      </c>
      <c r="O50" s="160">
        <f>(M50-M48)*N50</f>
        <v>112500</v>
      </c>
    </row>
    <row r="51" spans="2:15" ht="12.75" customHeight="1">
      <c r="B51" s="86"/>
      <c r="C51" s="141"/>
      <c r="D51" s="155"/>
      <c r="E51" s="425"/>
      <c r="F51" s="426"/>
      <c r="G51" s="427"/>
      <c r="H51" s="428"/>
      <c r="I51" s="156"/>
      <c r="J51" s="70"/>
      <c r="K51" s="147"/>
      <c r="L51" s="165"/>
      <c r="M51" s="146"/>
      <c r="N51" s="424"/>
      <c r="O51" s="160"/>
    </row>
    <row r="52" spans="2:15" ht="12.75" customHeight="1">
      <c r="B52" s="86"/>
      <c r="C52" s="141"/>
      <c r="D52" s="155"/>
      <c r="E52" s="425"/>
      <c r="F52" s="426"/>
      <c r="G52" s="427"/>
      <c r="H52" s="428"/>
      <c r="I52" s="156"/>
      <c r="J52" s="70"/>
      <c r="K52" s="147"/>
      <c r="L52" s="168" t="s">
        <v>155</v>
      </c>
      <c r="M52" s="141">
        <v>1500000</v>
      </c>
      <c r="N52" s="153">
        <v>0.17</v>
      </c>
      <c r="O52" s="160"/>
    </row>
    <row r="53" spans="2:15" ht="12.75" customHeight="1">
      <c r="B53" s="86"/>
      <c r="C53" s="141"/>
      <c r="D53" s="148" t="s">
        <v>156</v>
      </c>
      <c r="E53" s="81">
        <f>IF('Start Up Costs'!$D$14&lt;C42,D42*('Start Up Costs'!$D$14),IF('Start Up Costs'!$D$14&lt;C44,D44*('Start Up Costs'!$D$14-C42)+E42,IF('Start Up Costs'!$D$14&lt;C46,D46*('Start Up Costs'!$D$14-C44)+SUM(E42:E44),IF('Start Up Costs'!$D$14&lt;C48,D48*('Start Up Costs'!$D$14-C46)+SUM(E42:E46),D50*('Start Up Costs'!$D$14-C50)+SUM(E42:E48)))))</f>
        <v>7500</v>
      </c>
      <c r="F53" s="147"/>
      <c r="G53" s="46"/>
      <c r="H53" s="147"/>
      <c r="I53" s="148" t="s">
        <v>156</v>
      </c>
      <c r="J53" s="87">
        <f>IF('Start Up Costs'!$D$14&lt;H42,I42*('Start Up Costs'!$D$14),IF('Start Up Costs'!$D$14&lt;H44,I44*('Start Up Costs'!$D$14-H42)+J42,IF('Start Up Costs'!$D$14&lt;H46,I46*('Start Up Costs'!$D$14-H44)+SUM(J42:J44),IF('Start Up Costs'!$D$14&lt;H48,I48*('Start Up Costs'!$D$14-H46)+SUM(J42:J46),I50*('Start Up Costs'!$D$14-H50)+SUM(J42:J48)))))</f>
        <v>12000</v>
      </c>
      <c r="K53" s="147"/>
      <c r="L53" s="165"/>
      <c r="M53" s="421"/>
      <c r="N53" s="148" t="s">
        <v>156</v>
      </c>
      <c r="O53" s="169">
        <f>IF('Start Up Costs'!$D$14&lt;M42,N42*('Start Up Costs'!$D$14),IF('Start Up Costs'!$D$14&lt;M44,N44*('Start Up Costs'!$D$14-M42)+O42,IF('Start Up Costs'!$D$14&lt;M46,N46*('Start Up Costs'!$D$14-M44)+SUM(O42:O44),IF('Start Up Costs'!$D$14&lt;M48,N48*('Start Up Costs'!$D$14-M46)+SUM(O42:O46),IF('Start Up Costs'!$D$14&lt;M50,N50*('Start Up Costs'!$D$14-M48)+SUM(O42:O48),N52*('Start Up Costs'!$D$14-M52)+SUM(O42:O50))))))</f>
        <v>7500</v>
      </c>
    </row>
    <row r="54" spans="2:15" ht="12.75" customHeight="1">
      <c r="B54" s="137"/>
      <c r="C54" s="136"/>
      <c r="D54" s="136"/>
      <c r="E54" s="138"/>
      <c r="F54" s="147"/>
      <c r="G54" s="137"/>
      <c r="H54" s="136"/>
      <c r="I54" s="136"/>
      <c r="J54" s="138"/>
      <c r="K54" s="147"/>
      <c r="L54" s="175"/>
      <c r="M54" s="176"/>
      <c r="N54" s="173"/>
      <c r="O54" s="174"/>
    </row>
    <row r="55" spans="2:15" ht="12.75" customHeight="1"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421"/>
      <c r="M55" s="421"/>
      <c r="N55" s="421"/>
      <c r="O55" s="421"/>
    </row>
    <row r="56" spans="2:15" ht="12.75" customHeight="1">
      <c r="B56" s="147"/>
      <c r="C56" s="147"/>
      <c r="D56" s="157" t="s">
        <v>156</v>
      </c>
      <c r="E56" s="158">
        <f>E32+E53</f>
        <v>8000</v>
      </c>
      <c r="F56" s="147"/>
      <c r="G56" s="147"/>
      <c r="H56" s="147"/>
      <c r="I56" s="157" t="s">
        <v>156</v>
      </c>
      <c r="J56" s="158">
        <f>J32+J53</f>
        <v>12100</v>
      </c>
      <c r="K56" s="147"/>
      <c r="L56" s="421"/>
      <c r="M56" s="421"/>
      <c r="N56" s="157" t="s">
        <v>156</v>
      </c>
      <c r="O56" s="158">
        <f>O32+O53</f>
        <v>7500</v>
      </c>
    </row>
    <row r="57" spans="2:15" ht="12.75" customHeight="1" thickBot="1"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421"/>
      <c r="M57" s="421"/>
      <c r="N57" s="421"/>
      <c r="O57" s="421"/>
    </row>
    <row r="58" spans="2:15" ht="12.75" customHeight="1">
      <c r="B58" s="192" t="s">
        <v>323</v>
      </c>
      <c r="C58" s="193"/>
      <c r="D58" s="193"/>
      <c r="E58" s="259"/>
      <c r="F58" s="147"/>
      <c r="G58" s="192" t="s">
        <v>322</v>
      </c>
      <c r="H58" s="193"/>
      <c r="I58" s="193"/>
      <c r="J58" s="259"/>
      <c r="K58" s="147"/>
      <c r="L58" s="192" t="s">
        <v>324</v>
      </c>
      <c r="M58" s="193"/>
      <c r="N58" s="193"/>
      <c r="O58" s="259"/>
    </row>
    <row r="59" spans="2:15" ht="12.75" customHeight="1">
      <c r="B59" s="280" t="s">
        <v>244</v>
      </c>
      <c r="C59" s="204" t="s">
        <v>245</v>
      </c>
      <c r="D59" s="205" t="s">
        <v>241</v>
      </c>
      <c r="E59" s="281" t="s">
        <v>242</v>
      </c>
      <c r="F59" s="147"/>
      <c r="G59" s="280" t="s">
        <v>244</v>
      </c>
      <c r="H59" s="204" t="s">
        <v>245</v>
      </c>
      <c r="I59" s="205" t="s">
        <v>241</v>
      </c>
      <c r="J59" s="281" t="s">
        <v>242</v>
      </c>
      <c r="L59" s="280" t="s">
        <v>244</v>
      </c>
      <c r="M59" s="204" t="s">
        <v>245</v>
      </c>
      <c r="N59" s="205" t="s">
        <v>241</v>
      </c>
      <c r="O59" s="281" t="s">
        <v>242</v>
      </c>
    </row>
    <row r="60" spans="2:15" ht="12.75" customHeight="1">
      <c r="B60" s="416">
        <v>100000</v>
      </c>
      <c r="C60" s="215">
        <f>IF('Start Up Costs'!$D$14&lt;B60,'Start Up Costs'!$D$14,B60)</f>
        <v>100000</v>
      </c>
      <c r="D60" s="417">
        <v>0.01</v>
      </c>
      <c r="E60" s="237">
        <f>D60*C60</f>
        <v>1000</v>
      </c>
      <c r="F60" s="147"/>
      <c r="G60" s="416">
        <v>100000</v>
      </c>
      <c r="H60" s="215">
        <f>IF('Start Up Costs'!$D$14&lt;G60,'Start Up Costs'!$D$14,G60)</f>
        <v>100000</v>
      </c>
      <c r="I60" s="417">
        <v>0.01</v>
      </c>
      <c r="J60" s="237">
        <f>I60*H60</f>
        <v>1000</v>
      </c>
      <c r="L60" s="416">
        <v>100000</v>
      </c>
      <c r="M60" s="215">
        <f>IF('Start Up Costs'!$D$14&lt;L60,'Start Up Costs'!$D$14,L60)</f>
        <v>100000</v>
      </c>
      <c r="N60" s="417">
        <v>0.01</v>
      </c>
      <c r="O60" s="237">
        <f>N60*M60</f>
        <v>1000</v>
      </c>
    </row>
    <row r="61" spans="2:15" ht="12.75" customHeight="1">
      <c r="B61" s="242" t="s">
        <v>264</v>
      </c>
      <c r="C61" s="215">
        <f>IF('Start Up Costs'!$D$14&lt;B60,0,'Start Up Costs'!$D$14-B60)</f>
        <v>50000</v>
      </c>
      <c r="D61" s="417">
        <v>0.01</v>
      </c>
      <c r="E61" s="237">
        <f>D61*C61</f>
        <v>500</v>
      </c>
      <c r="G61" s="242" t="s">
        <v>264</v>
      </c>
      <c r="H61" s="215">
        <f>IF('Start Up Costs'!$D$14&lt;G60,0,'Start Up Costs'!$D$14-G60)</f>
        <v>50000</v>
      </c>
      <c r="I61" s="417">
        <v>0.01</v>
      </c>
      <c r="J61" s="237">
        <f>I61*H61</f>
        <v>500</v>
      </c>
      <c r="L61" s="242" t="s">
        <v>264</v>
      </c>
      <c r="M61" s="215">
        <f>IF('Start Up Costs'!$D$14&lt;L60,0,'Start Up Costs'!$D$14-L60)</f>
        <v>50000</v>
      </c>
      <c r="N61" s="417">
        <v>0.01</v>
      </c>
      <c r="O61" s="237">
        <f>N61*M61</f>
        <v>500</v>
      </c>
    </row>
    <row r="62" spans="2:15" ht="12.75" customHeight="1" thickBot="1">
      <c r="B62" s="249"/>
      <c r="C62" s="250">
        <f>SUM(C60:C61)</f>
        <v>150000</v>
      </c>
      <c r="D62" s="251" t="s">
        <v>268</v>
      </c>
      <c r="E62" s="252">
        <f>SUM(E60:E61)</f>
        <v>1500</v>
      </c>
      <c r="G62" s="249"/>
      <c r="H62" s="250">
        <f>SUM(H60:H61)</f>
        <v>150000</v>
      </c>
      <c r="I62" s="251" t="s">
        <v>268</v>
      </c>
      <c r="J62" s="252">
        <f>SUM(J60:J61)</f>
        <v>1500</v>
      </c>
      <c r="L62" s="249"/>
      <c r="M62" s="250">
        <f>SUM(M60:M61)</f>
        <v>150000</v>
      </c>
      <c r="N62" s="251" t="s">
        <v>268</v>
      </c>
      <c r="O62" s="252">
        <f>SUM(O60:O61)</f>
        <v>1500</v>
      </c>
    </row>
    <row r="63" spans="2:15" ht="12.75" customHeight="1">
      <c r="B63" s="292" t="s">
        <v>283</v>
      </c>
      <c r="C63" s="146"/>
      <c r="D63" s="146"/>
      <c r="E63" s="146"/>
      <c r="G63" s="292" t="s">
        <v>283</v>
      </c>
      <c r="H63" s="146"/>
      <c r="I63" s="146"/>
      <c r="J63" s="146"/>
      <c r="L63" s="292" t="s">
        <v>283</v>
      </c>
      <c r="M63" s="146"/>
      <c r="N63" s="146"/>
      <c r="O63" s="146"/>
    </row>
    <row r="64" spans="2:15" ht="12.75" customHeight="1">
      <c r="B64" s="133"/>
      <c r="C64" s="133"/>
      <c r="D64" s="133"/>
      <c r="E64" s="133"/>
      <c r="L64" s="421"/>
      <c r="M64" s="421"/>
      <c r="N64" s="421"/>
      <c r="O64" s="421"/>
    </row>
    <row r="65" spans="2:15" ht="12.75" customHeight="1">
      <c r="B65" s="133"/>
      <c r="C65" s="133"/>
      <c r="D65" s="133"/>
      <c r="E65" s="133"/>
      <c r="L65" s="421"/>
      <c r="M65" s="421"/>
      <c r="N65" s="421"/>
      <c r="O65" s="421"/>
    </row>
    <row r="66" spans="2:15" ht="12.75" customHeight="1">
      <c r="B66" s="133"/>
      <c r="C66" s="133"/>
      <c r="D66" s="133"/>
      <c r="E66" s="133"/>
      <c r="L66" s="421"/>
      <c r="M66" s="421"/>
      <c r="N66" s="421"/>
      <c r="O66" s="421"/>
    </row>
    <row r="67" spans="2:15" ht="12.75" customHeight="1">
      <c r="L67" s="421"/>
      <c r="M67" s="421"/>
      <c r="N67" s="421"/>
      <c r="O67" s="421"/>
    </row>
    <row r="68" spans="2:15" ht="12.75" customHeight="1">
      <c r="L68" s="421"/>
      <c r="M68" s="421"/>
      <c r="N68" s="421"/>
      <c r="O68" s="421"/>
    </row>
    <row r="69" spans="2:15" ht="12.75" customHeight="1"/>
    <row r="70" spans="2:15" ht="12.75" customHeight="1"/>
    <row r="71" spans="2:15" ht="12.75" customHeight="1"/>
    <row r="72" spans="2:15" ht="12.75" customHeight="1"/>
    <row r="73" spans="2:15" ht="12.75" customHeight="1"/>
    <row r="74" spans="2:15" ht="12.75" customHeight="1"/>
    <row r="75" spans="2:15" ht="12.75" customHeight="1"/>
    <row r="76" spans="2:15" ht="12.75" customHeight="1"/>
    <row r="77" spans="2:15" ht="12.75" customHeight="1"/>
    <row r="78" spans="2:15" ht="12.75" customHeight="1"/>
    <row r="79" spans="2:15" ht="12.75" customHeight="1"/>
    <row r="80" spans="2:15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7">
    <mergeCell ref="L41:M41"/>
    <mergeCell ref="L37:O37"/>
    <mergeCell ref="B39:E39"/>
    <mergeCell ref="G39:J39"/>
    <mergeCell ref="B37:E37"/>
    <mergeCell ref="B35:E35"/>
    <mergeCell ref="G37:J37"/>
    <mergeCell ref="L39:O39"/>
    <mergeCell ref="B20:C20"/>
    <mergeCell ref="G20:H20"/>
    <mergeCell ref="L20:M20"/>
    <mergeCell ref="G35:J35"/>
    <mergeCell ref="L35:O35"/>
    <mergeCell ref="B1:O1"/>
    <mergeCell ref="B3:E3"/>
    <mergeCell ref="G3:J3"/>
    <mergeCell ref="L3:O3"/>
    <mergeCell ref="B5:C5"/>
    <mergeCell ref="G5:H5"/>
    <mergeCell ref="L5:M5"/>
    <mergeCell ref="B12:E12"/>
    <mergeCell ref="G12:J12"/>
    <mergeCell ref="L14:O14"/>
    <mergeCell ref="B16:O16"/>
    <mergeCell ref="B18:E18"/>
    <mergeCell ref="G18:J18"/>
    <mergeCell ref="L18:O18"/>
  </mergeCells>
  <hyperlinks>
    <hyperlink ref="B12" r:id="rId1"/>
    <hyperlink ref="G12" r:id="rId2"/>
    <hyperlink ref="L14" r:id="rId3"/>
    <hyperlink ref="G35" r:id="rId4"/>
    <hyperlink ref="B35" r:id="rId5"/>
    <hyperlink ref="G63" r:id="rId6"/>
    <hyperlink ref="B63" r:id="rId7"/>
    <hyperlink ref="L35" r:id="rId8"/>
    <hyperlink ref="L63" r:id="rId9"/>
  </hyperlinks>
  <pageMargins left="0.7" right="0.7" top="0.75" bottom="0.75" header="0" footer="0"/>
  <pageSetup orientation="landscape" r:id="rId1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B1:BK1000"/>
  <sheetViews>
    <sheetView workbookViewId="0">
      <selection activeCell="M9" sqref="M9"/>
    </sheetView>
  </sheetViews>
  <sheetFormatPr defaultColWidth="12.7109375" defaultRowHeight="15.75" customHeight="1"/>
  <cols>
    <col min="1" max="1" width="2.28515625" customWidth="1"/>
    <col min="2" max="2" width="10.140625" customWidth="1"/>
    <col min="3" max="3" width="12.85546875" customWidth="1"/>
    <col min="4" max="4" width="14" customWidth="1"/>
    <col min="5" max="63" width="10.140625" customWidth="1"/>
  </cols>
  <sheetData>
    <row r="1" spans="2:43" ht="12.75" customHeight="1"/>
    <row r="2" spans="2:43" ht="17.25" customHeight="1">
      <c r="B2" s="754" t="s">
        <v>122</v>
      </c>
      <c r="C2" s="727"/>
      <c r="D2" s="727"/>
      <c r="E2" s="727"/>
      <c r="F2" s="728"/>
    </row>
    <row r="3" spans="2:43" ht="24" customHeight="1">
      <c r="B3" s="96" t="s">
        <v>180</v>
      </c>
      <c r="C3" s="97">
        <f>'Start Up Costs'!D14*'General Dashboard'!G3</f>
        <v>0</v>
      </c>
      <c r="D3" s="98" t="s">
        <v>181</v>
      </c>
      <c r="E3" s="99">
        <v>7.4999999999999997E-3</v>
      </c>
      <c r="F3" s="100">
        <f>C3*E3</f>
        <v>0</v>
      </c>
    </row>
    <row r="4" spans="2:43" ht="12.75" customHeight="1">
      <c r="B4" s="96" t="s">
        <v>182</v>
      </c>
      <c r="C4" s="99">
        <v>3.7499999999999999E-2</v>
      </c>
      <c r="D4" s="755" t="s">
        <v>183</v>
      </c>
      <c r="E4" s="731"/>
      <c r="F4" s="101">
        <f>C3-F3</f>
        <v>0</v>
      </c>
    </row>
    <row r="5" spans="2:43" ht="12.75" customHeight="1">
      <c r="B5" s="96" t="s">
        <v>184</v>
      </c>
      <c r="C5" s="102">
        <v>40</v>
      </c>
      <c r="D5" s="98" t="s">
        <v>185</v>
      </c>
      <c r="E5" s="102" t="s">
        <v>186</v>
      </c>
      <c r="F5" s="103"/>
    </row>
    <row r="6" spans="2:43" ht="24" customHeight="1">
      <c r="B6" s="104" t="s">
        <v>187</v>
      </c>
      <c r="C6" s="105">
        <v>0.03</v>
      </c>
      <c r="D6" s="106" t="s">
        <v>188</v>
      </c>
      <c r="E6" s="107">
        <v>10</v>
      </c>
      <c r="F6" s="108" t="s">
        <v>189</v>
      </c>
    </row>
    <row r="7" spans="2:43" ht="12.75" customHeight="1"/>
    <row r="8" spans="2:43" ht="12.75" customHeight="1"/>
    <row r="9" spans="2:43" ht="12.75" customHeight="1">
      <c r="C9" s="91"/>
      <c r="D9" s="109">
        <v>1</v>
      </c>
      <c r="E9" s="109">
        <v>2</v>
      </c>
      <c r="F9" s="109">
        <v>3</v>
      </c>
      <c r="G9" s="109">
        <v>4</v>
      </c>
      <c r="H9" s="109">
        <v>5</v>
      </c>
      <c r="I9" s="109">
        <v>6</v>
      </c>
      <c r="J9" s="109">
        <v>7</v>
      </c>
      <c r="K9" s="109">
        <v>8</v>
      </c>
      <c r="L9" s="109">
        <v>9</v>
      </c>
      <c r="M9" s="109">
        <v>10</v>
      </c>
      <c r="N9" s="109">
        <v>11</v>
      </c>
      <c r="O9" s="109">
        <v>12</v>
      </c>
      <c r="P9" s="109">
        <v>13</v>
      </c>
      <c r="Q9" s="109">
        <v>14</v>
      </c>
      <c r="R9" s="109">
        <v>15</v>
      </c>
      <c r="S9" s="109">
        <v>16</v>
      </c>
      <c r="T9" s="109">
        <v>17</v>
      </c>
      <c r="U9" s="109">
        <v>18</v>
      </c>
      <c r="V9" s="109">
        <v>19</v>
      </c>
      <c r="W9" s="109">
        <v>20</v>
      </c>
      <c r="X9" s="109">
        <v>21</v>
      </c>
      <c r="Y9" s="109">
        <v>22</v>
      </c>
      <c r="Z9" s="109">
        <v>23</v>
      </c>
      <c r="AA9" s="109">
        <v>24</v>
      </c>
      <c r="AB9" s="109">
        <v>25</v>
      </c>
      <c r="AC9" s="109">
        <v>26</v>
      </c>
      <c r="AD9" s="109">
        <v>27</v>
      </c>
      <c r="AE9" s="109">
        <v>28</v>
      </c>
      <c r="AF9" s="109">
        <v>29</v>
      </c>
      <c r="AG9" s="109">
        <v>30</v>
      </c>
      <c r="AH9" s="109">
        <v>31</v>
      </c>
      <c r="AI9" s="109">
        <v>32</v>
      </c>
      <c r="AJ9" s="109">
        <v>33</v>
      </c>
      <c r="AK9" s="109">
        <v>34</v>
      </c>
      <c r="AL9" s="109">
        <v>35</v>
      </c>
      <c r="AM9" s="109">
        <v>36</v>
      </c>
      <c r="AN9" s="109">
        <v>37</v>
      </c>
      <c r="AO9" s="109">
        <v>38</v>
      </c>
      <c r="AP9" s="109">
        <v>39</v>
      </c>
      <c r="AQ9" s="110">
        <v>40</v>
      </c>
    </row>
    <row r="10" spans="2:43" ht="12.75" customHeight="1">
      <c r="C10" s="23" t="s">
        <v>182</v>
      </c>
      <c r="D10" s="111">
        <f>C4</f>
        <v>3.7499999999999999E-2</v>
      </c>
      <c r="E10" s="111">
        <f t="shared" ref="E10:AQ10" si="0">IF(E9&lt;=$E$6+1,D10+($C$6/$E$6),D10)</f>
        <v>4.0500000000000001E-2</v>
      </c>
      <c r="F10" s="111">
        <f t="shared" si="0"/>
        <v>4.3500000000000004E-2</v>
      </c>
      <c r="G10" s="111">
        <f t="shared" si="0"/>
        <v>4.6500000000000007E-2</v>
      </c>
      <c r="H10" s="111">
        <f t="shared" si="0"/>
        <v>4.9500000000000009E-2</v>
      </c>
      <c r="I10" s="111">
        <f t="shared" si="0"/>
        <v>5.2500000000000012E-2</v>
      </c>
      <c r="J10" s="111">
        <f t="shared" si="0"/>
        <v>5.5500000000000015E-2</v>
      </c>
      <c r="K10" s="111">
        <f t="shared" si="0"/>
        <v>5.8500000000000017E-2</v>
      </c>
      <c r="L10" s="111">
        <f t="shared" si="0"/>
        <v>6.150000000000002E-2</v>
      </c>
      <c r="M10" s="111">
        <f t="shared" si="0"/>
        <v>6.4500000000000016E-2</v>
      </c>
      <c r="N10" s="111">
        <f t="shared" si="0"/>
        <v>6.7500000000000018E-2</v>
      </c>
      <c r="O10" s="111">
        <f t="shared" si="0"/>
        <v>6.7500000000000018E-2</v>
      </c>
      <c r="P10" s="111">
        <f t="shared" si="0"/>
        <v>6.7500000000000018E-2</v>
      </c>
      <c r="Q10" s="111">
        <f t="shared" si="0"/>
        <v>6.7500000000000018E-2</v>
      </c>
      <c r="R10" s="111">
        <f t="shared" si="0"/>
        <v>6.7500000000000018E-2</v>
      </c>
      <c r="S10" s="111">
        <f t="shared" si="0"/>
        <v>6.7500000000000018E-2</v>
      </c>
      <c r="T10" s="111">
        <f t="shared" si="0"/>
        <v>6.7500000000000018E-2</v>
      </c>
      <c r="U10" s="111">
        <f t="shared" si="0"/>
        <v>6.7500000000000018E-2</v>
      </c>
      <c r="V10" s="111">
        <f t="shared" si="0"/>
        <v>6.7500000000000018E-2</v>
      </c>
      <c r="W10" s="111">
        <f t="shared" si="0"/>
        <v>6.7500000000000018E-2</v>
      </c>
      <c r="X10" s="111">
        <f t="shared" si="0"/>
        <v>6.7500000000000018E-2</v>
      </c>
      <c r="Y10" s="111">
        <f t="shared" si="0"/>
        <v>6.7500000000000018E-2</v>
      </c>
      <c r="Z10" s="111">
        <f t="shared" si="0"/>
        <v>6.7500000000000018E-2</v>
      </c>
      <c r="AA10" s="111">
        <f t="shared" si="0"/>
        <v>6.7500000000000018E-2</v>
      </c>
      <c r="AB10" s="111">
        <f t="shared" si="0"/>
        <v>6.7500000000000018E-2</v>
      </c>
      <c r="AC10" s="111">
        <f t="shared" si="0"/>
        <v>6.7500000000000018E-2</v>
      </c>
      <c r="AD10" s="111">
        <f t="shared" si="0"/>
        <v>6.7500000000000018E-2</v>
      </c>
      <c r="AE10" s="111">
        <f t="shared" si="0"/>
        <v>6.7500000000000018E-2</v>
      </c>
      <c r="AF10" s="111">
        <f t="shared" si="0"/>
        <v>6.7500000000000018E-2</v>
      </c>
      <c r="AG10" s="111">
        <f t="shared" si="0"/>
        <v>6.7500000000000018E-2</v>
      </c>
      <c r="AH10" s="111">
        <f t="shared" si="0"/>
        <v>6.7500000000000018E-2</v>
      </c>
      <c r="AI10" s="111">
        <f t="shared" si="0"/>
        <v>6.7500000000000018E-2</v>
      </c>
      <c r="AJ10" s="111">
        <f t="shared" si="0"/>
        <v>6.7500000000000018E-2</v>
      </c>
      <c r="AK10" s="111">
        <f t="shared" si="0"/>
        <v>6.7500000000000018E-2</v>
      </c>
      <c r="AL10" s="111">
        <f t="shared" si="0"/>
        <v>6.7500000000000018E-2</v>
      </c>
      <c r="AM10" s="111">
        <f t="shared" si="0"/>
        <v>6.7500000000000018E-2</v>
      </c>
      <c r="AN10" s="111">
        <f t="shared" si="0"/>
        <v>6.7500000000000018E-2</v>
      </c>
      <c r="AO10" s="111">
        <f t="shared" si="0"/>
        <v>6.7500000000000018E-2</v>
      </c>
      <c r="AP10" s="111">
        <f t="shared" si="0"/>
        <v>6.7500000000000018E-2</v>
      </c>
      <c r="AQ10" s="112">
        <f t="shared" si="0"/>
        <v>6.7500000000000018E-2</v>
      </c>
    </row>
    <row r="11" spans="2:43" ht="12.75" customHeight="1">
      <c r="C11" s="23" t="s">
        <v>190</v>
      </c>
      <c r="D11" s="61">
        <f>IF(D9&lt;=$C$5,IF(E5="No",-PMT(D10/12,$C$5*12,$C$3),$C$3*D10/12),0)</f>
        <v>0</v>
      </c>
      <c r="E11" s="61">
        <f t="shared" ref="E11:AQ11" si="1">IF(E9&lt;=$C$5,IF($E$5="No",-PMT(E10/12,($C$5-D$9)*12,D$63),$C$3*E10/12),0)</f>
        <v>0</v>
      </c>
      <c r="F11" s="61">
        <f t="shared" si="1"/>
        <v>0</v>
      </c>
      <c r="G11" s="61">
        <f t="shared" si="1"/>
        <v>0</v>
      </c>
      <c r="H11" s="61">
        <f t="shared" si="1"/>
        <v>0</v>
      </c>
      <c r="I11" s="61">
        <f t="shared" si="1"/>
        <v>0</v>
      </c>
      <c r="J11" s="61">
        <f t="shared" si="1"/>
        <v>0</v>
      </c>
      <c r="K11" s="61">
        <f t="shared" si="1"/>
        <v>0</v>
      </c>
      <c r="L11" s="61">
        <f t="shared" si="1"/>
        <v>0</v>
      </c>
      <c r="M11" s="61">
        <f t="shared" si="1"/>
        <v>0</v>
      </c>
      <c r="N11" s="61">
        <f t="shared" si="1"/>
        <v>0</v>
      </c>
      <c r="O11" s="61">
        <f t="shared" si="1"/>
        <v>0</v>
      </c>
      <c r="P11" s="61">
        <f t="shared" si="1"/>
        <v>0</v>
      </c>
      <c r="Q11" s="61">
        <f t="shared" si="1"/>
        <v>0</v>
      </c>
      <c r="R11" s="61">
        <f t="shared" si="1"/>
        <v>0</v>
      </c>
      <c r="S11" s="61">
        <f t="shared" si="1"/>
        <v>0</v>
      </c>
      <c r="T11" s="61">
        <f t="shared" si="1"/>
        <v>0</v>
      </c>
      <c r="U11" s="61">
        <f t="shared" si="1"/>
        <v>0</v>
      </c>
      <c r="V11" s="61">
        <f t="shared" si="1"/>
        <v>0</v>
      </c>
      <c r="W11" s="61">
        <f t="shared" si="1"/>
        <v>0</v>
      </c>
      <c r="X11" s="61">
        <f t="shared" si="1"/>
        <v>0</v>
      </c>
      <c r="Y11" s="61">
        <f t="shared" si="1"/>
        <v>0</v>
      </c>
      <c r="Z11" s="61">
        <f t="shared" si="1"/>
        <v>0</v>
      </c>
      <c r="AA11" s="61">
        <f t="shared" si="1"/>
        <v>0</v>
      </c>
      <c r="AB11" s="61">
        <f t="shared" si="1"/>
        <v>0</v>
      </c>
      <c r="AC11" s="61">
        <f t="shared" si="1"/>
        <v>0</v>
      </c>
      <c r="AD11" s="61">
        <f t="shared" si="1"/>
        <v>0</v>
      </c>
      <c r="AE11" s="61">
        <f t="shared" si="1"/>
        <v>0</v>
      </c>
      <c r="AF11" s="61">
        <f t="shared" si="1"/>
        <v>0</v>
      </c>
      <c r="AG11" s="61">
        <f t="shared" si="1"/>
        <v>0</v>
      </c>
      <c r="AH11" s="61">
        <f t="shared" si="1"/>
        <v>0</v>
      </c>
      <c r="AI11" s="61">
        <f t="shared" si="1"/>
        <v>0</v>
      </c>
      <c r="AJ11" s="61">
        <f t="shared" si="1"/>
        <v>0</v>
      </c>
      <c r="AK11" s="61">
        <f t="shared" si="1"/>
        <v>0</v>
      </c>
      <c r="AL11" s="61">
        <f t="shared" si="1"/>
        <v>0</v>
      </c>
      <c r="AM11" s="61">
        <f t="shared" si="1"/>
        <v>0</v>
      </c>
      <c r="AN11" s="61">
        <f t="shared" si="1"/>
        <v>0</v>
      </c>
      <c r="AO11" s="61">
        <f t="shared" si="1"/>
        <v>0</v>
      </c>
      <c r="AP11" s="61">
        <f t="shared" si="1"/>
        <v>0</v>
      </c>
      <c r="AQ11" s="37">
        <f t="shared" si="1"/>
        <v>0</v>
      </c>
    </row>
    <row r="12" spans="2:43" ht="12.75" customHeight="1"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9"/>
    </row>
    <row r="13" spans="2:43" ht="12.75" customHeight="1">
      <c r="C13" s="23" t="s">
        <v>191</v>
      </c>
      <c r="D13" s="113">
        <f t="shared" ref="D13:AQ13" si="2">D63</f>
        <v>0</v>
      </c>
      <c r="E13" s="113">
        <f t="shared" si="2"/>
        <v>0</v>
      </c>
      <c r="F13" s="113">
        <f t="shared" si="2"/>
        <v>0</v>
      </c>
      <c r="G13" s="113">
        <f t="shared" si="2"/>
        <v>0</v>
      </c>
      <c r="H13" s="113">
        <f t="shared" si="2"/>
        <v>0</v>
      </c>
      <c r="I13" s="113">
        <f t="shared" si="2"/>
        <v>0</v>
      </c>
      <c r="J13" s="113">
        <f t="shared" si="2"/>
        <v>0</v>
      </c>
      <c r="K13" s="113">
        <f t="shared" si="2"/>
        <v>0</v>
      </c>
      <c r="L13" s="113">
        <f t="shared" si="2"/>
        <v>0</v>
      </c>
      <c r="M13" s="113">
        <f t="shared" si="2"/>
        <v>0</v>
      </c>
      <c r="N13" s="113">
        <f t="shared" si="2"/>
        <v>0</v>
      </c>
      <c r="O13" s="113">
        <f t="shared" si="2"/>
        <v>0</v>
      </c>
      <c r="P13" s="113">
        <f t="shared" si="2"/>
        <v>0</v>
      </c>
      <c r="Q13" s="113">
        <f t="shared" si="2"/>
        <v>0</v>
      </c>
      <c r="R13" s="113">
        <f t="shared" si="2"/>
        <v>0</v>
      </c>
      <c r="S13" s="113">
        <f t="shared" si="2"/>
        <v>0</v>
      </c>
      <c r="T13" s="113">
        <f t="shared" si="2"/>
        <v>0</v>
      </c>
      <c r="U13" s="113">
        <f t="shared" si="2"/>
        <v>0</v>
      </c>
      <c r="V13" s="113">
        <f t="shared" si="2"/>
        <v>0</v>
      </c>
      <c r="W13" s="113">
        <f t="shared" si="2"/>
        <v>0</v>
      </c>
      <c r="X13" s="113">
        <f t="shared" si="2"/>
        <v>0</v>
      </c>
      <c r="Y13" s="113">
        <f t="shared" si="2"/>
        <v>0</v>
      </c>
      <c r="Z13" s="113">
        <f t="shared" si="2"/>
        <v>0</v>
      </c>
      <c r="AA13" s="113">
        <f t="shared" si="2"/>
        <v>0</v>
      </c>
      <c r="AB13" s="113">
        <f t="shared" si="2"/>
        <v>0</v>
      </c>
      <c r="AC13" s="113">
        <f t="shared" si="2"/>
        <v>0</v>
      </c>
      <c r="AD13" s="113">
        <f t="shared" si="2"/>
        <v>0</v>
      </c>
      <c r="AE13" s="113">
        <f t="shared" si="2"/>
        <v>0</v>
      </c>
      <c r="AF13" s="113">
        <f t="shared" si="2"/>
        <v>0</v>
      </c>
      <c r="AG13" s="113">
        <f t="shared" si="2"/>
        <v>0</v>
      </c>
      <c r="AH13" s="113">
        <f t="shared" si="2"/>
        <v>0</v>
      </c>
      <c r="AI13" s="113">
        <f t="shared" si="2"/>
        <v>0</v>
      </c>
      <c r="AJ13" s="113">
        <f t="shared" si="2"/>
        <v>0</v>
      </c>
      <c r="AK13" s="113">
        <f t="shared" si="2"/>
        <v>0</v>
      </c>
      <c r="AL13" s="113">
        <f t="shared" si="2"/>
        <v>0</v>
      </c>
      <c r="AM13" s="113">
        <f t="shared" si="2"/>
        <v>0</v>
      </c>
      <c r="AN13" s="113">
        <f t="shared" si="2"/>
        <v>0</v>
      </c>
      <c r="AO13" s="113">
        <f t="shared" si="2"/>
        <v>0</v>
      </c>
      <c r="AP13" s="113">
        <f t="shared" si="2"/>
        <v>0</v>
      </c>
      <c r="AQ13" s="114">
        <f t="shared" si="2"/>
        <v>0</v>
      </c>
    </row>
    <row r="14" spans="2:43" ht="12.75" customHeight="1">
      <c r="C14" s="23" t="s">
        <v>192</v>
      </c>
      <c r="D14" s="113">
        <f t="shared" ref="D14:AQ14" si="3">D17+D21+D25+D29+D33+D37+D41+D45+D49+D53+D57+D61</f>
        <v>0</v>
      </c>
      <c r="E14" s="113">
        <f t="shared" si="3"/>
        <v>0</v>
      </c>
      <c r="F14" s="113">
        <f t="shared" si="3"/>
        <v>0</v>
      </c>
      <c r="G14" s="113">
        <f t="shared" si="3"/>
        <v>0</v>
      </c>
      <c r="H14" s="113">
        <f t="shared" si="3"/>
        <v>0</v>
      </c>
      <c r="I14" s="113">
        <f t="shared" si="3"/>
        <v>0</v>
      </c>
      <c r="J14" s="113">
        <f t="shared" si="3"/>
        <v>0</v>
      </c>
      <c r="K14" s="113">
        <f t="shared" si="3"/>
        <v>0</v>
      </c>
      <c r="L14" s="113">
        <f t="shared" si="3"/>
        <v>0</v>
      </c>
      <c r="M14" s="113">
        <f t="shared" si="3"/>
        <v>0</v>
      </c>
      <c r="N14" s="113">
        <f t="shared" si="3"/>
        <v>0</v>
      </c>
      <c r="O14" s="113">
        <f t="shared" si="3"/>
        <v>0</v>
      </c>
      <c r="P14" s="113">
        <f t="shared" si="3"/>
        <v>0</v>
      </c>
      <c r="Q14" s="113">
        <f t="shared" si="3"/>
        <v>0</v>
      </c>
      <c r="R14" s="113">
        <f t="shared" si="3"/>
        <v>0</v>
      </c>
      <c r="S14" s="113">
        <f t="shared" si="3"/>
        <v>0</v>
      </c>
      <c r="T14" s="113">
        <f t="shared" si="3"/>
        <v>0</v>
      </c>
      <c r="U14" s="113">
        <f t="shared" si="3"/>
        <v>0</v>
      </c>
      <c r="V14" s="113">
        <f t="shared" si="3"/>
        <v>0</v>
      </c>
      <c r="W14" s="113">
        <f t="shared" si="3"/>
        <v>0</v>
      </c>
      <c r="X14" s="113">
        <f t="shared" si="3"/>
        <v>0</v>
      </c>
      <c r="Y14" s="113">
        <f t="shared" si="3"/>
        <v>0</v>
      </c>
      <c r="Z14" s="113">
        <f t="shared" si="3"/>
        <v>0</v>
      </c>
      <c r="AA14" s="113">
        <f t="shared" si="3"/>
        <v>0</v>
      </c>
      <c r="AB14" s="113">
        <f t="shared" si="3"/>
        <v>0</v>
      </c>
      <c r="AC14" s="113">
        <f t="shared" si="3"/>
        <v>0</v>
      </c>
      <c r="AD14" s="113">
        <f t="shared" si="3"/>
        <v>0</v>
      </c>
      <c r="AE14" s="113">
        <f t="shared" si="3"/>
        <v>0</v>
      </c>
      <c r="AF14" s="113">
        <f t="shared" si="3"/>
        <v>0</v>
      </c>
      <c r="AG14" s="113">
        <f t="shared" si="3"/>
        <v>0</v>
      </c>
      <c r="AH14" s="113">
        <f t="shared" si="3"/>
        <v>0</v>
      </c>
      <c r="AI14" s="113">
        <f t="shared" si="3"/>
        <v>0</v>
      </c>
      <c r="AJ14" s="113">
        <f t="shared" si="3"/>
        <v>0</v>
      </c>
      <c r="AK14" s="113">
        <f t="shared" si="3"/>
        <v>0</v>
      </c>
      <c r="AL14" s="113">
        <f t="shared" si="3"/>
        <v>0</v>
      </c>
      <c r="AM14" s="113">
        <f t="shared" si="3"/>
        <v>0</v>
      </c>
      <c r="AN14" s="113">
        <f t="shared" si="3"/>
        <v>0</v>
      </c>
      <c r="AO14" s="113">
        <f t="shared" si="3"/>
        <v>0</v>
      </c>
      <c r="AP14" s="113">
        <f t="shared" si="3"/>
        <v>0</v>
      </c>
      <c r="AQ14" s="114">
        <f t="shared" si="3"/>
        <v>0</v>
      </c>
    </row>
    <row r="15" spans="2:43" ht="12.75" customHeight="1">
      <c r="C15" s="38" t="s">
        <v>193</v>
      </c>
      <c r="D15" s="115">
        <f t="shared" ref="D15:AQ15" si="4">D18+D22+D26+D30+D34+D38+D42+D46+D50+D54+D58+D62</f>
        <v>0</v>
      </c>
      <c r="E15" s="115">
        <f t="shared" si="4"/>
        <v>0</v>
      </c>
      <c r="F15" s="115">
        <f t="shared" si="4"/>
        <v>0</v>
      </c>
      <c r="G15" s="115">
        <f t="shared" si="4"/>
        <v>0</v>
      </c>
      <c r="H15" s="115">
        <f t="shared" si="4"/>
        <v>0</v>
      </c>
      <c r="I15" s="115">
        <f t="shared" si="4"/>
        <v>0</v>
      </c>
      <c r="J15" s="115">
        <f t="shared" si="4"/>
        <v>0</v>
      </c>
      <c r="K15" s="115">
        <f t="shared" si="4"/>
        <v>0</v>
      </c>
      <c r="L15" s="115">
        <f t="shared" si="4"/>
        <v>0</v>
      </c>
      <c r="M15" s="115">
        <f t="shared" si="4"/>
        <v>0</v>
      </c>
      <c r="N15" s="115">
        <f t="shared" si="4"/>
        <v>0</v>
      </c>
      <c r="O15" s="115">
        <f t="shared" si="4"/>
        <v>0</v>
      </c>
      <c r="P15" s="115">
        <f t="shared" si="4"/>
        <v>0</v>
      </c>
      <c r="Q15" s="115">
        <f t="shared" si="4"/>
        <v>0</v>
      </c>
      <c r="R15" s="115">
        <f t="shared" si="4"/>
        <v>0</v>
      </c>
      <c r="S15" s="115">
        <f t="shared" si="4"/>
        <v>0</v>
      </c>
      <c r="T15" s="115">
        <f t="shared" si="4"/>
        <v>0</v>
      </c>
      <c r="U15" s="115">
        <f t="shared" si="4"/>
        <v>0</v>
      </c>
      <c r="V15" s="115">
        <f t="shared" si="4"/>
        <v>0</v>
      </c>
      <c r="W15" s="115">
        <f t="shared" si="4"/>
        <v>0</v>
      </c>
      <c r="X15" s="115">
        <f t="shared" si="4"/>
        <v>0</v>
      </c>
      <c r="Y15" s="115">
        <f t="shared" si="4"/>
        <v>0</v>
      </c>
      <c r="Z15" s="115">
        <f t="shared" si="4"/>
        <v>0</v>
      </c>
      <c r="AA15" s="115">
        <f t="shared" si="4"/>
        <v>0</v>
      </c>
      <c r="AB15" s="115">
        <f t="shared" si="4"/>
        <v>0</v>
      </c>
      <c r="AC15" s="115">
        <f t="shared" si="4"/>
        <v>0</v>
      </c>
      <c r="AD15" s="115">
        <f t="shared" si="4"/>
        <v>0</v>
      </c>
      <c r="AE15" s="115">
        <f t="shared" si="4"/>
        <v>0</v>
      </c>
      <c r="AF15" s="115">
        <f t="shared" si="4"/>
        <v>0</v>
      </c>
      <c r="AG15" s="115">
        <f t="shared" si="4"/>
        <v>0</v>
      </c>
      <c r="AH15" s="115">
        <f t="shared" si="4"/>
        <v>0</v>
      </c>
      <c r="AI15" s="115">
        <f t="shared" si="4"/>
        <v>0</v>
      </c>
      <c r="AJ15" s="115">
        <f t="shared" si="4"/>
        <v>0</v>
      </c>
      <c r="AK15" s="115">
        <f t="shared" si="4"/>
        <v>0</v>
      </c>
      <c r="AL15" s="115">
        <f t="shared" si="4"/>
        <v>0</v>
      </c>
      <c r="AM15" s="115">
        <f t="shared" si="4"/>
        <v>0</v>
      </c>
      <c r="AN15" s="115">
        <f t="shared" si="4"/>
        <v>0</v>
      </c>
      <c r="AO15" s="115">
        <f t="shared" si="4"/>
        <v>0</v>
      </c>
      <c r="AP15" s="115">
        <f t="shared" si="4"/>
        <v>0</v>
      </c>
      <c r="AQ15" s="116">
        <f t="shared" si="4"/>
        <v>0</v>
      </c>
    </row>
    <row r="16" spans="2:43" ht="12.75" customHeight="1"/>
    <row r="17" spans="2:63" ht="12.75" customHeight="1">
      <c r="B17" s="91" t="s">
        <v>194</v>
      </c>
      <c r="C17" s="109" t="s">
        <v>195</v>
      </c>
      <c r="D17" s="117">
        <f>IF(E5="Yes",IF(D9=C5,C3,D$11),D11)</f>
        <v>0</v>
      </c>
      <c r="E17" s="117">
        <f t="shared" ref="E17:AQ17" si="5">E$11</f>
        <v>0</v>
      </c>
      <c r="F17" s="117">
        <f t="shared" si="5"/>
        <v>0</v>
      </c>
      <c r="G17" s="117">
        <f t="shared" si="5"/>
        <v>0</v>
      </c>
      <c r="H17" s="117">
        <f t="shared" si="5"/>
        <v>0</v>
      </c>
      <c r="I17" s="117">
        <f t="shared" si="5"/>
        <v>0</v>
      </c>
      <c r="J17" s="117">
        <f t="shared" si="5"/>
        <v>0</v>
      </c>
      <c r="K17" s="117">
        <f t="shared" si="5"/>
        <v>0</v>
      </c>
      <c r="L17" s="117">
        <f t="shared" si="5"/>
        <v>0</v>
      </c>
      <c r="M17" s="117">
        <f t="shared" si="5"/>
        <v>0</v>
      </c>
      <c r="N17" s="117">
        <f t="shared" si="5"/>
        <v>0</v>
      </c>
      <c r="O17" s="117">
        <f t="shared" si="5"/>
        <v>0</v>
      </c>
      <c r="P17" s="117">
        <f t="shared" si="5"/>
        <v>0</v>
      </c>
      <c r="Q17" s="117">
        <f t="shared" si="5"/>
        <v>0</v>
      </c>
      <c r="R17" s="117">
        <f t="shared" si="5"/>
        <v>0</v>
      </c>
      <c r="S17" s="117">
        <f t="shared" si="5"/>
        <v>0</v>
      </c>
      <c r="T17" s="117">
        <f t="shared" si="5"/>
        <v>0</v>
      </c>
      <c r="U17" s="117">
        <f t="shared" si="5"/>
        <v>0</v>
      </c>
      <c r="V17" s="117">
        <f t="shared" si="5"/>
        <v>0</v>
      </c>
      <c r="W17" s="117">
        <f t="shared" si="5"/>
        <v>0</v>
      </c>
      <c r="X17" s="117">
        <f t="shared" si="5"/>
        <v>0</v>
      </c>
      <c r="Y17" s="117">
        <f t="shared" si="5"/>
        <v>0</v>
      </c>
      <c r="Z17" s="117">
        <f t="shared" si="5"/>
        <v>0</v>
      </c>
      <c r="AA17" s="117">
        <f t="shared" si="5"/>
        <v>0</v>
      </c>
      <c r="AB17" s="117">
        <f t="shared" si="5"/>
        <v>0</v>
      </c>
      <c r="AC17" s="117">
        <f t="shared" si="5"/>
        <v>0</v>
      </c>
      <c r="AD17" s="117">
        <f t="shared" si="5"/>
        <v>0</v>
      </c>
      <c r="AE17" s="117">
        <f t="shared" si="5"/>
        <v>0</v>
      </c>
      <c r="AF17" s="117">
        <f t="shared" si="5"/>
        <v>0</v>
      </c>
      <c r="AG17" s="117">
        <f t="shared" si="5"/>
        <v>0</v>
      </c>
      <c r="AH17" s="117">
        <f t="shared" si="5"/>
        <v>0</v>
      </c>
      <c r="AI17" s="117">
        <f t="shared" si="5"/>
        <v>0</v>
      </c>
      <c r="AJ17" s="117">
        <f t="shared" si="5"/>
        <v>0</v>
      </c>
      <c r="AK17" s="117">
        <f t="shared" si="5"/>
        <v>0</v>
      </c>
      <c r="AL17" s="117">
        <f t="shared" si="5"/>
        <v>0</v>
      </c>
      <c r="AM17" s="117">
        <f t="shared" si="5"/>
        <v>0</v>
      </c>
      <c r="AN17" s="117">
        <f t="shared" si="5"/>
        <v>0</v>
      </c>
      <c r="AO17" s="117">
        <f t="shared" si="5"/>
        <v>0</v>
      </c>
      <c r="AP17" s="117">
        <f t="shared" si="5"/>
        <v>0</v>
      </c>
      <c r="AQ17" s="118">
        <f t="shared" si="5"/>
        <v>0</v>
      </c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</row>
    <row r="18" spans="2:63" ht="12.75" customHeight="1">
      <c r="B18" s="23"/>
      <c r="C18" s="24" t="s">
        <v>196</v>
      </c>
      <c r="D18" s="113">
        <f>C3*D$10/12</f>
        <v>0</v>
      </c>
      <c r="E18" s="113">
        <f t="shared" ref="E18:AQ18" si="6">D63*E$10/12</f>
        <v>0</v>
      </c>
      <c r="F18" s="113">
        <f t="shared" si="6"/>
        <v>0</v>
      </c>
      <c r="G18" s="113">
        <f t="shared" si="6"/>
        <v>0</v>
      </c>
      <c r="H18" s="113">
        <f t="shared" si="6"/>
        <v>0</v>
      </c>
      <c r="I18" s="113">
        <f t="shared" si="6"/>
        <v>0</v>
      </c>
      <c r="J18" s="113">
        <f t="shared" si="6"/>
        <v>0</v>
      </c>
      <c r="K18" s="113">
        <f t="shared" si="6"/>
        <v>0</v>
      </c>
      <c r="L18" s="113">
        <f t="shared" si="6"/>
        <v>0</v>
      </c>
      <c r="M18" s="113">
        <f t="shared" si="6"/>
        <v>0</v>
      </c>
      <c r="N18" s="113">
        <f t="shared" si="6"/>
        <v>0</v>
      </c>
      <c r="O18" s="113">
        <f t="shared" si="6"/>
        <v>0</v>
      </c>
      <c r="P18" s="113">
        <f t="shared" si="6"/>
        <v>0</v>
      </c>
      <c r="Q18" s="113">
        <f t="shared" si="6"/>
        <v>0</v>
      </c>
      <c r="R18" s="113">
        <f t="shared" si="6"/>
        <v>0</v>
      </c>
      <c r="S18" s="113">
        <f t="shared" si="6"/>
        <v>0</v>
      </c>
      <c r="T18" s="113">
        <f t="shared" si="6"/>
        <v>0</v>
      </c>
      <c r="U18" s="113">
        <f t="shared" si="6"/>
        <v>0</v>
      </c>
      <c r="V18" s="113">
        <f t="shared" si="6"/>
        <v>0</v>
      </c>
      <c r="W18" s="113">
        <f t="shared" si="6"/>
        <v>0</v>
      </c>
      <c r="X18" s="113">
        <f t="shared" si="6"/>
        <v>0</v>
      </c>
      <c r="Y18" s="113">
        <f t="shared" si="6"/>
        <v>0</v>
      </c>
      <c r="Z18" s="113">
        <f t="shared" si="6"/>
        <v>0</v>
      </c>
      <c r="AA18" s="113">
        <f t="shared" si="6"/>
        <v>0</v>
      </c>
      <c r="AB18" s="113">
        <f t="shared" si="6"/>
        <v>0</v>
      </c>
      <c r="AC18" s="113">
        <f t="shared" si="6"/>
        <v>0</v>
      </c>
      <c r="AD18" s="113">
        <f t="shared" si="6"/>
        <v>0</v>
      </c>
      <c r="AE18" s="113">
        <f t="shared" si="6"/>
        <v>0</v>
      </c>
      <c r="AF18" s="113">
        <f t="shared" si="6"/>
        <v>0</v>
      </c>
      <c r="AG18" s="113">
        <f t="shared" si="6"/>
        <v>0</v>
      </c>
      <c r="AH18" s="113">
        <f t="shared" si="6"/>
        <v>0</v>
      </c>
      <c r="AI18" s="113">
        <f t="shared" si="6"/>
        <v>0</v>
      </c>
      <c r="AJ18" s="113">
        <f t="shared" si="6"/>
        <v>0</v>
      </c>
      <c r="AK18" s="113">
        <f t="shared" si="6"/>
        <v>0</v>
      </c>
      <c r="AL18" s="113">
        <f t="shared" si="6"/>
        <v>0</v>
      </c>
      <c r="AM18" s="113">
        <f t="shared" si="6"/>
        <v>0</v>
      </c>
      <c r="AN18" s="113">
        <f t="shared" si="6"/>
        <v>0</v>
      </c>
      <c r="AO18" s="113">
        <f t="shared" si="6"/>
        <v>0</v>
      </c>
      <c r="AP18" s="113">
        <f t="shared" si="6"/>
        <v>0</v>
      </c>
      <c r="AQ18" s="114">
        <f t="shared" si="6"/>
        <v>0</v>
      </c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</row>
    <row r="19" spans="2:63" ht="12.75" customHeight="1">
      <c r="B19" s="23"/>
      <c r="C19" s="24" t="s">
        <v>197</v>
      </c>
      <c r="D19" s="113">
        <f>C3-D17+D18</f>
        <v>0</v>
      </c>
      <c r="E19" s="113">
        <f t="shared" ref="E19:AQ19" si="7">D63-E17+E18</f>
        <v>0</v>
      </c>
      <c r="F19" s="113">
        <f t="shared" si="7"/>
        <v>0</v>
      </c>
      <c r="G19" s="113">
        <f t="shared" si="7"/>
        <v>0</v>
      </c>
      <c r="H19" s="113">
        <f t="shared" si="7"/>
        <v>0</v>
      </c>
      <c r="I19" s="113">
        <f t="shared" si="7"/>
        <v>0</v>
      </c>
      <c r="J19" s="113">
        <f t="shared" si="7"/>
        <v>0</v>
      </c>
      <c r="K19" s="113">
        <f t="shared" si="7"/>
        <v>0</v>
      </c>
      <c r="L19" s="113">
        <f t="shared" si="7"/>
        <v>0</v>
      </c>
      <c r="M19" s="113">
        <f t="shared" si="7"/>
        <v>0</v>
      </c>
      <c r="N19" s="113">
        <f t="shared" si="7"/>
        <v>0</v>
      </c>
      <c r="O19" s="113">
        <f t="shared" si="7"/>
        <v>0</v>
      </c>
      <c r="P19" s="113">
        <f t="shared" si="7"/>
        <v>0</v>
      </c>
      <c r="Q19" s="113">
        <f t="shared" si="7"/>
        <v>0</v>
      </c>
      <c r="R19" s="113">
        <f t="shared" si="7"/>
        <v>0</v>
      </c>
      <c r="S19" s="113">
        <f t="shared" si="7"/>
        <v>0</v>
      </c>
      <c r="T19" s="113">
        <f t="shared" si="7"/>
        <v>0</v>
      </c>
      <c r="U19" s="113">
        <f t="shared" si="7"/>
        <v>0</v>
      </c>
      <c r="V19" s="113">
        <f t="shared" si="7"/>
        <v>0</v>
      </c>
      <c r="W19" s="113">
        <f t="shared" si="7"/>
        <v>0</v>
      </c>
      <c r="X19" s="113">
        <f t="shared" si="7"/>
        <v>0</v>
      </c>
      <c r="Y19" s="113">
        <f t="shared" si="7"/>
        <v>0</v>
      </c>
      <c r="Z19" s="113">
        <f t="shared" si="7"/>
        <v>0</v>
      </c>
      <c r="AA19" s="113">
        <f t="shared" si="7"/>
        <v>0</v>
      </c>
      <c r="AB19" s="113">
        <f t="shared" si="7"/>
        <v>0</v>
      </c>
      <c r="AC19" s="113">
        <f t="shared" si="7"/>
        <v>0</v>
      </c>
      <c r="AD19" s="113">
        <f t="shared" si="7"/>
        <v>0</v>
      </c>
      <c r="AE19" s="113">
        <f t="shared" si="7"/>
        <v>0</v>
      </c>
      <c r="AF19" s="113">
        <f t="shared" si="7"/>
        <v>0</v>
      </c>
      <c r="AG19" s="113">
        <f t="shared" si="7"/>
        <v>0</v>
      </c>
      <c r="AH19" s="113">
        <f t="shared" si="7"/>
        <v>0</v>
      </c>
      <c r="AI19" s="113">
        <f t="shared" si="7"/>
        <v>0</v>
      </c>
      <c r="AJ19" s="113">
        <f t="shared" si="7"/>
        <v>0</v>
      </c>
      <c r="AK19" s="113">
        <f t="shared" si="7"/>
        <v>0</v>
      </c>
      <c r="AL19" s="113">
        <f t="shared" si="7"/>
        <v>0</v>
      </c>
      <c r="AM19" s="113">
        <f t="shared" si="7"/>
        <v>0</v>
      </c>
      <c r="AN19" s="113">
        <f t="shared" si="7"/>
        <v>0</v>
      </c>
      <c r="AO19" s="113">
        <f t="shared" si="7"/>
        <v>0</v>
      </c>
      <c r="AP19" s="113">
        <f t="shared" si="7"/>
        <v>0</v>
      </c>
      <c r="AQ19" s="114">
        <f t="shared" si="7"/>
        <v>0</v>
      </c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</row>
    <row r="20" spans="2:63" ht="12.75" customHeight="1">
      <c r="B20" s="23"/>
      <c r="C20" s="24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4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</row>
    <row r="21" spans="2:63" ht="12.75" customHeight="1">
      <c r="B21" s="23" t="s">
        <v>198</v>
      </c>
      <c r="C21" s="24" t="s">
        <v>195</v>
      </c>
      <c r="D21" s="113">
        <f t="shared" ref="D21:AQ21" si="8">D$11</f>
        <v>0</v>
      </c>
      <c r="E21" s="113">
        <f t="shared" si="8"/>
        <v>0</v>
      </c>
      <c r="F21" s="113">
        <f t="shared" si="8"/>
        <v>0</v>
      </c>
      <c r="G21" s="113">
        <f t="shared" si="8"/>
        <v>0</v>
      </c>
      <c r="H21" s="113">
        <f t="shared" si="8"/>
        <v>0</v>
      </c>
      <c r="I21" s="113">
        <f t="shared" si="8"/>
        <v>0</v>
      </c>
      <c r="J21" s="113">
        <f t="shared" si="8"/>
        <v>0</v>
      </c>
      <c r="K21" s="113">
        <f t="shared" si="8"/>
        <v>0</v>
      </c>
      <c r="L21" s="113">
        <f t="shared" si="8"/>
        <v>0</v>
      </c>
      <c r="M21" s="113">
        <f t="shared" si="8"/>
        <v>0</v>
      </c>
      <c r="N21" s="113">
        <f t="shared" si="8"/>
        <v>0</v>
      </c>
      <c r="O21" s="113">
        <f t="shared" si="8"/>
        <v>0</v>
      </c>
      <c r="P21" s="113">
        <f t="shared" si="8"/>
        <v>0</v>
      </c>
      <c r="Q21" s="113">
        <f t="shared" si="8"/>
        <v>0</v>
      </c>
      <c r="R21" s="113">
        <f t="shared" si="8"/>
        <v>0</v>
      </c>
      <c r="S21" s="113">
        <f t="shared" si="8"/>
        <v>0</v>
      </c>
      <c r="T21" s="113">
        <f t="shared" si="8"/>
        <v>0</v>
      </c>
      <c r="U21" s="113">
        <f t="shared" si="8"/>
        <v>0</v>
      </c>
      <c r="V21" s="113">
        <f t="shared" si="8"/>
        <v>0</v>
      </c>
      <c r="W21" s="113">
        <f t="shared" si="8"/>
        <v>0</v>
      </c>
      <c r="X21" s="113">
        <f t="shared" si="8"/>
        <v>0</v>
      </c>
      <c r="Y21" s="113">
        <f t="shared" si="8"/>
        <v>0</v>
      </c>
      <c r="Z21" s="113">
        <f t="shared" si="8"/>
        <v>0</v>
      </c>
      <c r="AA21" s="113">
        <f t="shared" si="8"/>
        <v>0</v>
      </c>
      <c r="AB21" s="113">
        <f t="shared" si="8"/>
        <v>0</v>
      </c>
      <c r="AC21" s="113">
        <f t="shared" si="8"/>
        <v>0</v>
      </c>
      <c r="AD21" s="113">
        <f t="shared" si="8"/>
        <v>0</v>
      </c>
      <c r="AE21" s="113">
        <f t="shared" si="8"/>
        <v>0</v>
      </c>
      <c r="AF21" s="113">
        <f t="shared" si="8"/>
        <v>0</v>
      </c>
      <c r="AG21" s="113">
        <f t="shared" si="8"/>
        <v>0</v>
      </c>
      <c r="AH21" s="113">
        <f t="shared" si="8"/>
        <v>0</v>
      </c>
      <c r="AI21" s="113">
        <f t="shared" si="8"/>
        <v>0</v>
      </c>
      <c r="AJ21" s="113">
        <f t="shared" si="8"/>
        <v>0</v>
      </c>
      <c r="AK21" s="113">
        <f t="shared" si="8"/>
        <v>0</v>
      </c>
      <c r="AL21" s="113">
        <f t="shared" si="8"/>
        <v>0</v>
      </c>
      <c r="AM21" s="113">
        <f t="shared" si="8"/>
        <v>0</v>
      </c>
      <c r="AN21" s="113">
        <f t="shared" si="8"/>
        <v>0</v>
      </c>
      <c r="AO21" s="113">
        <f t="shared" si="8"/>
        <v>0</v>
      </c>
      <c r="AP21" s="113">
        <f t="shared" si="8"/>
        <v>0</v>
      </c>
      <c r="AQ21" s="114">
        <f t="shared" si="8"/>
        <v>0</v>
      </c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</row>
    <row r="22" spans="2:63" ht="12.75" customHeight="1">
      <c r="B22" s="23"/>
      <c r="C22" s="24" t="s">
        <v>196</v>
      </c>
      <c r="D22" s="113">
        <f t="shared" ref="D22:AQ22" si="9">D19*D$10/12</f>
        <v>0</v>
      </c>
      <c r="E22" s="113">
        <f t="shared" si="9"/>
        <v>0</v>
      </c>
      <c r="F22" s="113">
        <f t="shared" si="9"/>
        <v>0</v>
      </c>
      <c r="G22" s="113">
        <f t="shared" si="9"/>
        <v>0</v>
      </c>
      <c r="H22" s="113">
        <f t="shared" si="9"/>
        <v>0</v>
      </c>
      <c r="I22" s="113">
        <f t="shared" si="9"/>
        <v>0</v>
      </c>
      <c r="J22" s="113">
        <f t="shared" si="9"/>
        <v>0</v>
      </c>
      <c r="K22" s="113">
        <f t="shared" si="9"/>
        <v>0</v>
      </c>
      <c r="L22" s="113">
        <f t="shared" si="9"/>
        <v>0</v>
      </c>
      <c r="M22" s="113">
        <f t="shared" si="9"/>
        <v>0</v>
      </c>
      <c r="N22" s="113">
        <f t="shared" si="9"/>
        <v>0</v>
      </c>
      <c r="O22" s="113">
        <f t="shared" si="9"/>
        <v>0</v>
      </c>
      <c r="P22" s="113">
        <f t="shared" si="9"/>
        <v>0</v>
      </c>
      <c r="Q22" s="113">
        <f t="shared" si="9"/>
        <v>0</v>
      </c>
      <c r="R22" s="113">
        <f t="shared" si="9"/>
        <v>0</v>
      </c>
      <c r="S22" s="113">
        <f t="shared" si="9"/>
        <v>0</v>
      </c>
      <c r="T22" s="113">
        <f t="shared" si="9"/>
        <v>0</v>
      </c>
      <c r="U22" s="113">
        <f t="shared" si="9"/>
        <v>0</v>
      </c>
      <c r="V22" s="113">
        <f t="shared" si="9"/>
        <v>0</v>
      </c>
      <c r="W22" s="113">
        <f t="shared" si="9"/>
        <v>0</v>
      </c>
      <c r="X22" s="113">
        <f t="shared" si="9"/>
        <v>0</v>
      </c>
      <c r="Y22" s="113">
        <f t="shared" si="9"/>
        <v>0</v>
      </c>
      <c r="Z22" s="113">
        <f t="shared" si="9"/>
        <v>0</v>
      </c>
      <c r="AA22" s="113">
        <f t="shared" si="9"/>
        <v>0</v>
      </c>
      <c r="AB22" s="113">
        <f t="shared" si="9"/>
        <v>0</v>
      </c>
      <c r="AC22" s="113">
        <f t="shared" si="9"/>
        <v>0</v>
      </c>
      <c r="AD22" s="113">
        <f t="shared" si="9"/>
        <v>0</v>
      </c>
      <c r="AE22" s="113">
        <f t="shared" si="9"/>
        <v>0</v>
      </c>
      <c r="AF22" s="113">
        <f t="shared" si="9"/>
        <v>0</v>
      </c>
      <c r="AG22" s="113">
        <f t="shared" si="9"/>
        <v>0</v>
      </c>
      <c r="AH22" s="113">
        <f t="shared" si="9"/>
        <v>0</v>
      </c>
      <c r="AI22" s="113">
        <f t="shared" si="9"/>
        <v>0</v>
      </c>
      <c r="AJ22" s="113">
        <f t="shared" si="9"/>
        <v>0</v>
      </c>
      <c r="AK22" s="113">
        <f t="shared" si="9"/>
        <v>0</v>
      </c>
      <c r="AL22" s="113">
        <f t="shared" si="9"/>
        <v>0</v>
      </c>
      <c r="AM22" s="113">
        <f t="shared" si="9"/>
        <v>0</v>
      </c>
      <c r="AN22" s="113">
        <f t="shared" si="9"/>
        <v>0</v>
      </c>
      <c r="AO22" s="113">
        <f t="shared" si="9"/>
        <v>0</v>
      </c>
      <c r="AP22" s="113">
        <f t="shared" si="9"/>
        <v>0</v>
      </c>
      <c r="AQ22" s="114">
        <f t="shared" si="9"/>
        <v>0</v>
      </c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</row>
    <row r="23" spans="2:63" ht="12.75" customHeight="1">
      <c r="B23" s="23"/>
      <c r="C23" s="24" t="s">
        <v>197</v>
      </c>
      <c r="D23" s="113">
        <f t="shared" ref="D23:AQ23" si="10">D19-D21+D22</f>
        <v>0</v>
      </c>
      <c r="E23" s="113">
        <f t="shared" si="10"/>
        <v>0</v>
      </c>
      <c r="F23" s="113">
        <f t="shared" si="10"/>
        <v>0</v>
      </c>
      <c r="G23" s="113">
        <f t="shared" si="10"/>
        <v>0</v>
      </c>
      <c r="H23" s="113">
        <f t="shared" si="10"/>
        <v>0</v>
      </c>
      <c r="I23" s="113">
        <f t="shared" si="10"/>
        <v>0</v>
      </c>
      <c r="J23" s="113">
        <f t="shared" si="10"/>
        <v>0</v>
      </c>
      <c r="K23" s="113">
        <f t="shared" si="10"/>
        <v>0</v>
      </c>
      <c r="L23" s="113">
        <f t="shared" si="10"/>
        <v>0</v>
      </c>
      <c r="M23" s="113">
        <f t="shared" si="10"/>
        <v>0</v>
      </c>
      <c r="N23" s="113">
        <f t="shared" si="10"/>
        <v>0</v>
      </c>
      <c r="O23" s="113">
        <f t="shared" si="10"/>
        <v>0</v>
      </c>
      <c r="P23" s="113">
        <f t="shared" si="10"/>
        <v>0</v>
      </c>
      <c r="Q23" s="113">
        <f t="shared" si="10"/>
        <v>0</v>
      </c>
      <c r="R23" s="113">
        <f t="shared" si="10"/>
        <v>0</v>
      </c>
      <c r="S23" s="113">
        <f t="shared" si="10"/>
        <v>0</v>
      </c>
      <c r="T23" s="113">
        <f t="shared" si="10"/>
        <v>0</v>
      </c>
      <c r="U23" s="113">
        <f t="shared" si="10"/>
        <v>0</v>
      </c>
      <c r="V23" s="113">
        <f t="shared" si="10"/>
        <v>0</v>
      </c>
      <c r="W23" s="113">
        <f t="shared" si="10"/>
        <v>0</v>
      </c>
      <c r="X23" s="113">
        <f t="shared" si="10"/>
        <v>0</v>
      </c>
      <c r="Y23" s="113">
        <f t="shared" si="10"/>
        <v>0</v>
      </c>
      <c r="Z23" s="113">
        <f t="shared" si="10"/>
        <v>0</v>
      </c>
      <c r="AA23" s="113">
        <f t="shared" si="10"/>
        <v>0</v>
      </c>
      <c r="AB23" s="113">
        <f t="shared" si="10"/>
        <v>0</v>
      </c>
      <c r="AC23" s="113">
        <f t="shared" si="10"/>
        <v>0</v>
      </c>
      <c r="AD23" s="113">
        <f t="shared" si="10"/>
        <v>0</v>
      </c>
      <c r="AE23" s="113">
        <f t="shared" si="10"/>
        <v>0</v>
      </c>
      <c r="AF23" s="113">
        <f t="shared" si="10"/>
        <v>0</v>
      </c>
      <c r="AG23" s="113">
        <f t="shared" si="10"/>
        <v>0</v>
      </c>
      <c r="AH23" s="113">
        <f t="shared" si="10"/>
        <v>0</v>
      </c>
      <c r="AI23" s="113">
        <f t="shared" si="10"/>
        <v>0</v>
      </c>
      <c r="AJ23" s="113">
        <f t="shared" si="10"/>
        <v>0</v>
      </c>
      <c r="AK23" s="113">
        <f t="shared" si="10"/>
        <v>0</v>
      </c>
      <c r="AL23" s="113">
        <f t="shared" si="10"/>
        <v>0</v>
      </c>
      <c r="AM23" s="113">
        <f t="shared" si="10"/>
        <v>0</v>
      </c>
      <c r="AN23" s="113">
        <f t="shared" si="10"/>
        <v>0</v>
      </c>
      <c r="AO23" s="113">
        <f t="shared" si="10"/>
        <v>0</v>
      </c>
      <c r="AP23" s="113">
        <f t="shared" si="10"/>
        <v>0</v>
      </c>
      <c r="AQ23" s="114">
        <f t="shared" si="10"/>
        <v>0</v>
      </c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</row>
    <row r="24" spans="2:63" ht="12.75" customHeight="1">
      <c r="B24" s="23"/>
      <c r="C24" s="24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4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</row>
    <row r="25" spans="2:63" ht="12.75" customHeight="1">
      <c r="B25" s="23" t="s">
        <v>199</v>
      </c>
      <c r="C25" s="24" t="s">
        <v>195</v>
      </c>
      <c r="D25" s="113">
        <f t="shared" ref="D25:AQ25" si="11">D$11</f>
        <v>0</v>
      </c>
      <c r="E25" s="113">
        <f t="shared" si="11"/>
        <v>0</v>
      </c>
      <c r="F25" s="113">
        <f t="shared" si="11"/>
        <v>0</v>
      </c>
      <c r="G25" s="113">
        <f t="shared" si="11"/>
        <v>0</v>
      </c>
      <c r="H25" s="113">
        <f t="shared" si="11"/>
        <v>0</v>
      </c>
      <c r="I25" s="113">
        <f t="shared" si="11"/>
        <v>0</v>
      </c>
      <c r="J25" s="113">
        <f t="shared" si="11"/>
        <v>0</v>
      </c>
      <c r="K25" s="113">
        <f t="shared" si="11"/>
        <v>0</v>
      </c>
      <c r="L25" s="113">
        <f t="shared" si="11"/>
        <v>0</v>
      </c>
      <c r="M25" s="113">
        <f t="shared" si="11"/>
        <v>0</v>
      </c>
      <c r="N25" s="113">
        <f t="shared" si="11"/>
        <v>0</v>
      </c>
      <c r="O25" s="113">
        <f t="shared" si="11"/>
        <v>0</v>
      </c>
      <c r="P25" s="113">
        <f t="shared" si="11"/>
        <v>0</v>
      </c>
      <c r="Q25" s="113">
        <f t="shared" si="11"/>
        <v>0</v>
      </c>
      <c r="R25" s="113">
        <f t="shared" si="11"/>
        <v>0</v>
      </c>
      <c r="S25" s="113">
        <f t="shared" si="11"/>
        <v>0</v>
      </c>
      <c r="T25" s="113">
        <f t="shared" si="11"/>
        <v>0</v>
      </c>
      <c r="U25" s="113">
        <f t="shared" si="11"/>
        <v>0</v>
      </c>
      <c r="V25" s="113">
        <f t="shared" si="11"/>
        <v>0</v>
      </c>
      <c r="W25" s="113">
        <f t="shared" si="11"/>
        <v>0</v>
      </c>
      <c r="X25" s="113">
        <f t="shared" si="11"/>
        <v>0</v>
      </c>
      <c r="Y25" s="113">
        <f t="shared" si="11"/>
        <v>0</v>
      </c>
      <c r="Z25" s="113">
        <f t="shared" si="11"/>
        <v>0</v>
      </c>
      <c r="AA25" s="113">
        <f t="shared" si="11"/>
        <v>0</v>
      </c>
      <c r="AB25" s="113">
        <f t="shared" si="11"/>
        <v>0</v>
      </c>
      <c r="AC25" s="113">
        <f t="shared" si="11"/>
        <v>0</v>
      </c>
      <c r="AD25" s="113">
        <f t="shared" si="11"/>
        <v>0</v>
      </c>
      <c r="AE25" s="113">
        <f t="shared" si="11"/>
        <v>0</v>
      </c>
      <c r="AF25" s="113">
        <f t="shared" si="11"/>
        <v>0</v>
      </c>
      <c r="AG25" s="113">
        <f t="shared" si="11"/>
        <v>0</v>
      </c>
      <c r="AH25" s="113">
        <f t="shared" si="11"/>
        <v>0</v>
      </c>
      <c r="AI25" s="113">
        <f t="shared" si="11"/>
        <v>0</v>
      </c>
      <c r="AJ25" s="113">
        <f t="shared" si="11"/>
        <v>0</v>
      </c>
      <c r="AK25" s="113">
        <f t="shared" si="11"/>
        <v>0</v>
      </c>
      <c r="AL25" s="113">
        <f t="shared" si="11"/>
        <v>0</v>
      </c>
      <c r="AM25" s="113">
        <f t="shared" si="11"/>
        <v>0</v>
      </c>
      <c r="AN25" s="113">
        <f t="shared" si="11"/>
        <v>0</v>
      </c>
      <c r="AO25" s="113">
        <f t="shared" si="11"/>
        <v>0</v>
      </c>
      <c r="AP25" s="113">
        <f t="shared" si="11"/>
        <v>0</v>
      </c>
      <c r="AQ25" s="114">
        <f t="shared" si="11"/>
        <v>0</v>
      </c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</row>
    <row r="26" spans="2:63" ht="12.75" customHeight="1">
      <c r="B26" s="23"/>
      <c r="C26" s="24" t="s">
        <v>196</v>
      </c>
      <c r="D26" s="113">
        <f t="shared" ref="D26:AQ26" si="12">D23*D$10/12</f>
        <v>0</v>
      </c>
      <c r="E26" s="113">
        <f t="shared" si="12"/>
        <v>0</v>
      </c>
      <c r="F26" s="113">
        <f t="shared" si="12"/>
        <v>0</v>
      </c>
      <c r="G26" s="113">
        <f t="shared" si="12"/>
        <v>0</v>
      </c>
      <c r="H26" s="113">
        <f t="shared" si="12"/>
        <v>0</v>
      </c>
      <c r="I26" s="113">
        <f t="shared" si="12"/>
        <v>0</v>
      </c>
      <c r="J26" s="113">
        <f t="shared" si="12"/>
        <v>0</v>
      </c>
      <c r="K26" s="113">
        <f t="shared" si="12"/>
        <v>0</v>
      </c>
      <c r="L26" s="113">
        <f t="shared" si="12"/>
        <v>0</v>
      </c>
      <c r="M26" s="113">
        <f t="shared" si="12"/>
        <v>0</v>
      </c>
      <c r="N26" s="113">
        <f t="shared" si="12"/>
        <v>0</v>
      </c>
      <c r="O26" s="113">
        <f t="shared" si="12"/>
        <v>0</v>
      </c>
      <c r="P26" s="113">
        <f t="shared" si="12"/>
        <v>0</v>
      </c>
      <c r="Q26" s="113">
        <f t="shared" si="12"/>
        <v>0</v>
      </c>
      <c r="R26" s="113">
        <f t="shared" si="12"/>
        <v>0</v>
      </c>
      <c r="S26" s="113">
        <f t="shared" si="12"/>
        <v>0</v>
      </c>
      <c r="T26" s="113">
        <f t="shared" si="12"/>
        <v>0</v>
      </c>
      <c r="U26" s="113">
        <f t="shared" si="12"/>
        <v>0</v>
      </c>
      <c r="V26" s="113">
        <f t="shared" si="12"/>
        <v>0</v>
      </c>
      <c r="W26" s="113">
        <f t="shared" si="12"/>
        <v>0</v>
      </c>
      <c r="X26" s="113">
        <f t="shared" si="12"/>
        <v>0</v>
      </c>
      <c r="Y26" s="113">
        <f t="shared" si="12"/>
        <v>0</v>
      </c>
      <c r="Z26" s="113">
        <f t="shared" si="12"/>
        <v>0</v>
      </c>
      <c r="AA26" s="113">
        <f t="shared" si="12"/>
        <v>0</v>
      </c>
      <c r="AB26" s="113">
        <f t="shared" si="12"/>
        <v>0</v>
      </c>
      <c r="AC26" s="113">
        <f t="shared" si="12"/>
        <v>0</v>
      </c>
      <c r="AD26" s="113">
        <f t="shared" si="12"/>
        <v>0</v>
      </c>
      <c r="AE26" s="113">
        <f t="shared" si="12"/>
        <v>0</v>
      </c>
      <c r="AF26" s="113">
        <f t="shared" si="12"/>
        <v>0</v>
      </c>
      <c r="AG26" s="113">
        <f t="shared" si="12"/>
        <v>0</v>
      </c>
      <c r="AH26" s="113">
        <f t="shared" si="12"/>
        <v>0</v>
      </c>
      <c r="AI26" s="113">
        <f t="shared" si="12"/>
        <v>0</v>
      </c>
      <c r="AJ26" s="113">
        <f t="shared" si="12"/>
        <v>0</v>
      </c>
      <c r="AK26" s="113">
        <f t="shared" si="12"/>
        <v>0</v>
      </c>
      <c r="AL26" s="113">
        <f t="shared" si="12"/>
        <v>0</v>
      </c>
      <c r="AM26" s="113">
        <f t="shared" si="12"/>
        <v>0</v>
      </c>
      <c r="AN26" s="113">
        <f t="shared" si="12"/>
        <v>0</v>
      </c>
      <c r="AO26" s="113">
        <f t="shared" si="12"/>
        <v>0</v>
      </c>
      <c r="AP26" s="113">
        <f t="shared" si="12"/>
        <v>0</v>
      </c>
      <c r="AQ26" s="114">
        <f t="shared" si="12"/>
        <v>0</v>
      </c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</row>
    <row r="27" spans="2:63" ht="12.75" customHeight="1">
      <c r="B27" s="23"/>
      <c r="C27" s="24" t="s">
        <v>197</v>
      </c>
      <c r="D27" s="113">
        <f t="shared" ref="D27:AQ27" si="13">D23-D25+D26</f>
        <v>0</v>
      </c>
      <c r="E27" s="113">
        <f t="shared" si="13"/>
        <v>0</v>
      </c>
      <c r="F27" s="113">
        <f t="shared" si="13"/>
        <v>0</v>
      </c>
      <c r="G27" s="113">
        <f t="shared" si="13"/>
        <v>0</v>
      </c>
      <c r="H27" s="113">
        <f t="shared" si="13"/>
        <v>0</v>
      </c>
      <c r="I27" s="113">
        <f t="shared" si="13"/>
        <v>0</v>
      </c>
      <c r="J27" s="113">
        <f t="shared" si="13"/>
        <v>0</v>
      </c>
      <c r="K27" s="113">
        <f t="shared" si="13"/>
        <v>0</v>
      </c>
      <c r="L27" s="113">
        <f t="shared" si="13"/>
        <v>0</v>
      </c>
      <c r="M27" s="113">
        <f t="shared" si="13"/>
        <v>0</v>
      </c>
      <c r="N27" s="113">
        <f t="shared" si="13"/>
        <v>0</v>
      </c>
      <c r="O27" s="113">
        <f t="shared" si="13"/>
        <v>0</v>
      </c>
      <c r="P27" s="113">
        <f t="shared" si="13"/>
        <v>0</v>
      </c>
      <c r="Q27" s="113">
        <f t="shared" si="13"/>
        <v>0</v>
      </c>
      <c r="R27" s="113">
        <f t="shared" si="13"/>
        <v>0</v>
      </c>
      <c r="S27" s="113">
        <f t="shared" si="13"/>
        <v>0</v>
      </c>
      <c r="T27" s="113">
        <f t="shared" si="13"/>
        <v>0</v>
      </c>
      <c r="U27" s="113">
        <f t="shared" si="13"/>
        <v>0</v>
      </c>
      <c r="V27" s="113">
        <f t="shared" si="13"/>
        <v>0</v>
      </c>
      <c r="W27" s="113">
        <f t="shared" si="13"/>
        <v>0</v>
      </c>
      <c r="X27" s="113">
        <f t="shared" si="13"/>
        <v>0</v>
      </c>
      <c r="Y27" s="113">
        <f t="shared" si="13"/>
        <v>0</v>
      </c>
      <c r="Z27" s="113">
        <f t="shared" si="13"/>
        <v>0</v>
      </c>
      <c r="AA27" s="113">
        <f t="shared" si="13"/>
        <v>0</v>
      </c>
      <c r="AB27" s="113">
        <f t="shared" si="13"/>
        <v>0</v>
      </c>
      <c r="AC27" s="113">
        <f t="shared" si="13"/>
        <v>0</v>
      </c>
      <c r="AD27" s="113">
        <f t="shared" si="13"/>
        <v>0</v>
      </c>
      <c r="AE27" s="113">
        <f t="shared" si="13"/>
        <v>0</v>
      </c>
      <c r="AF27" s="113">
        <f t="shared" si="13"/>
        <v>0</v>
      </c>
      <c r="AG27" s="113">
        <f t="shared" si="13"/>
        <v>0</v>
      </c>
      <c r="AH27" s="113">
        <f t="shared" si="13"/>
        <v>0</v>
      </c>
      <c r="AI27" s="113">
        <f t="shared" si="13"/>
        <v>0</v>
      </c>
      <c r="AJ27" s="113">
        <f t="shared" si="13"/>
        <v>0</v>
      </c>
      <c r="AK27" s="113">
        <f t="shared" si="13"/>
        <v>0</v>
      </c>
      <c r="AL27" s="113">
        <f t="shared" si="13"/>
        <v>0</v>
      </c>
      <c r="AM27" s="113">
        <f t="shared" si="13"/>
        <v>0</v>
      </c>
      <c r="AN27" s="113">
        <f t="shared" si="13"/>
        <v>0</v>
      </c>
      <c r="AO27" s="113">
        <f t="shared" si="13"/>
        <v>0</v>
      </c>
      <c r="AP27" s="113">
        <f t="shared" si="13"/>
        <v>0</v>
      </c>
      <c r="AQ27" s="114">
        <f t="shared" si="13"/>
        <v>0</v>
      </c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</row>
    <row r="28" spans="2:63" ht="12.75" customHeight="1">
      <c r="B28" s="23"/>
      <c r="C28" s="24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4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</row>
    <row r="29" spans="2:63" ht="12.75" customHeight="1">
      <c r="B29" s="23" t="s">
        <v>200</v>
      </c>
      <c r="C29" s="24" t="s">
        <v>195</v>
      </c>
      <c r="D29" s="113">
        <f t="shared" ref="D29:AQ29" si="14">D$11</f>
        <v>0</v>
      </c>
      <c r="E29" s="113">
        <f t="shared" si="14"/>
        <v>0</v>
      </c>
      <c r="F29" s="113">
        <f t="shared" si="14"/>
        <v>0</v>
      </c>
      <c r="G29" s="113">
        <f t="shared" si="14"/>
        <v>0</v>
      </c>
      <c r="H29" s="113">
        <f t="shared" si="14"/>
        <v>0</v>
      </c>
      <c r="I29" s="113">
        <f t="shared" si="14"/>
        <v>0</v>
      </c>
      <c r="J29" s="113">
        <f t="shared" si="14"/>
        <v>0</v>
      </c>
      <c r="K29" s="113">
        <f t="shared" si="14"/>
        <v>0</v>
      </c>
      <c r="L29" s="113">
        <f t="shared" si="14"/>
        <v>0</v>
      </c>
      <c r="M29" s="113">
        <f t="shared" si="14"/>
        <v>0</v>
      </c>
      <c r="N29" s="113">
        <f t="shared" si="14"/>
        <v>0</v>
      </c>
      <c r="O29" s="113">
        <f t="shared" si="14"/>
        <v>0</v>
      </c>
      <c r="P29" s="113">
        <f t="shared" si="14"/>
        <v>0</v>
      </c>
      <c r="Q29" s="113">
        <f t="shared" si="14"/>
        <v>0</v>
      </c>
      <c r="R29" s="113">
        <f t="shared" si="14"/>
        <v>0</v>
      </c>
      <c r="S29" s="113">
        <f t="shared" si="14"/>
        <v>0</v>
      </c>
      <c r="T29" s="113">
        <f t="shared" si="14"/>
        <v>0</v>
      </c>
      <c r="U29" s="113">
        <f t="shared" si="14"/>
        <v>0</v>
      </c>
      <c r="V29" s="113">
        <f t="shared" si="14"/>
        <v>0</v>
      </c>
      <c r="W29" s="113">
        <f t="shared" si="14"/>
        <v>0</v>
      </c>
      <c r="X29" s="113">
        <f t="shared" si="14"/>
        <v>0</v>
      </c>
      <c r="Y29" s="113">
        <f t="shared" si="14"/>
        <v>0</v>
      </c>
      <c r="Z29" s="113">
        <f t="shared" si="14"/>
        <v>0</v>
      </c>
      <c r="AA29" s="113">
        <f t="shared" si="14"/>
        <v>0</v>
      </c>
      <c r="AB29" s="113">
        <f t="shared" si="14"/>
        <v>0</v>
      </c>
      <c r="AC29" s="113">
        <f t="shared" si="14"/>
        <v>0</v>
      </c>
      <c r="AD29" s="113">
        <f t="shared" si="14"/>
        <v>0</v>
      </c>
      <c r="AE29" s="113">
        <f t="shared" si="14"/>
        <v>0</v>
      </c>
      <c r="AF29" s="113">
        <f t="shared" si="14"/>
        <v>0</v>
      </c>
      <c r="AG29" s="113">
        <f t="shared" si="14"/>
        <v>0</v>
      </c>
      <c r="AH29" s="113">
        <f t="shared" si="14"/>
        <v>0</v>
      </c>
      <c r="AI29" s="113">
        <f t="shared" si="14"/>
        <v>0</v>
      </c>
      <c r="AJ29" s="113">
        <f t="shared" si="14"/>
        <v>0</v>
      </c>
      <c r="AK29" s="113">
        <f t="shared" si="14"/>
        <v>0</v>
      </c>
      <c r="AL29" s="113">
        <f t="shared" si="14"/>
        <v>0</v>
      </c>
      <c r="AM29" s="113">
        <f t="shared" si="14"/>
        <v>0</v>
      </c>
      <c r="AN29" s="113">
        <f t="shared" si="14"/>
        <v>0</v>
      </c>
      <c r="AO29" s="113">
        <f t="shared" si="14"/>
        <v>0</v>
      </c>
      <c r="AP29" s="113">
        <f t="shared" si="14"/>
        <v>0</v>
      </c>
      <c r="AQ29" s="114">
        <f t="shared" si="14"/>
        <v>0</v>
      </c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</row>
    <row r="30" spans="2:63" ht="12.75" customHeight="1">
      <c r="B30" s="23"/>
      <c r="C30" s="24" t="s">
        <v>196</v>
      </c>
      <c r="D30" s="113">
        <f t="shared" ref="D30:AQ30" si="15">D27*D$10/12</f>
        <v>0</v>
      </c>
      <c r="E30" s="113">
        <f t="shared" si="15"/>
        <v>0</v>
      </c>
      <c r="F30" s="113">
        <f t="shared" si="15"/>
        <v>0</v>
      </c>
      <c r="G30" s="113">
        <f t="shared" si="15"/>
        <v>0</v>
      </c>
      <c r="H30" s="113">
        <f t="shared" si="15"/>
        <v>0</v>
      </c>
      <c r="I30" s="113">
        <f t="shared" si="15"/>
        <v>0</v>
      </c>
      <c r="J30" s="113">
        <f t="shared" si="15"/>
        <v>0</v>
      </c>
      <c r="K30" s="113">
        <f t="shared" si="15"/>
        <v>0</v>
      </c>
      <c r="L30" s="113">
        <f t="shared" si="15"/>
        <v>0</v>
      </c>
      <c r="M30" s="113">
        <f t="shared" si="15"/>
        <v>0</v>
      </c>
      <c r="N30" s="113">
        <f t="shared" si="15"/>
        <v>0</v>
      </c>
      <c r="O30" s="113">
        <f t="shared" si="15"/>
        <v>0</v>
      </c>
      <c r="P30" s="113">
        <f t="shared" si="15"/>
        <v>0</v>
      </c>
      <c r="Q30" s="113">
        <f t="shared" si="15"/>
        <v>0</v>
      </c>
      <c r="R30" s="113">
        <f t="shared" si="15"/>
        <v>0</v>
      </c>
      <c r="S30" s="113">
        <f t="shared" si="15"/>
        <v>0</v>
      </c>
      <c r="T30" s="113">
        <f t="shared" si="15"/>
        <v>0</v>
      </c>
      <c r="U30" s="113">
        <f t="shared" si="15"/>
        <v>0</v>
      </c>
      <c r="V30" s="113">
        <f t="shared" si="15"/>
        <v>0</v>
      </c>
      <c r="W30" s="113">
        <f t="shared" si="15"/>
        <v>0</v>
      </c>
      <c r="X30" s="113">
        <f t="shared" si="15"/>
        <v>0</v>
      </c>
      <c r="Y30" s="113">
        <f t="shared" si="15"/>
        <v>0</v>
      </c>
      <c r="Z30" s="113">
        <f t="shared" si="15"/>
        <v>0</v>
      </c>
      <c r="AA30" s="113">
        <f t="shared" si="15"/>
        <v>0</v>
      </c>
      <c r="AB30" s="113">
        <f t="shared" si="15"/>
        <v>0</v>
      </c>
      <c r="AC30" s="113">
        <f t="shared" si="15"/>
        <v>0</v>
      </c>
      <c r="AD30" s="113">
        <f t="shared" si="15"/>
        <v>0</v>
      </c>
      <c r="AE30" s="113">
        <f t="shared" si="15"/>
        <v>0</v>
      </c>
      <c r="AF30" s="113">
        <f t="shared" si="15"/>
        <v>0</v>
      </c>
      <c r="AG30" s="113">
        <f t="shared" si="15"/>
        <v>0</v>
      </c>
      <c r="AH30" s="113">
        <f t="shared" si="15"/>
        <v>0</v>
      </c>
      <c r="AI30" s="113">
        <f t="shared" si="15"/>
        <v>0</v>
      </c>
      <c r="AJ30" s="113">
        <f t="shared" si="15"/>
        <v>0</v>
      </c>
      <c r="AK30" s="113">
        <f t="shared" si="15"/>
        <v>0</v>
      </c>
      <c r="AL30" s="113">
        <f t="shared" si="15"/>
        <v>0</v>
      </c>
      <c r="AM30" s="113">
        <f t="shared" si="15"/>
        <v>0</v>
      </c>
      <c r="AN30" s="113">
        <f t="shared" si="15"/>
        <v>0</v>
      </c>
      <c r="AO30" s="113">
        <f t="shared" si="15"/>
        <v>0</v>
      </c>
      <c r="AP30" s="113">
        <f t="shared" si="15"/>
        <v>0</v>
      </c>
      <c r="AQ30" s="114">
        <f t="shared" si="15"/>
        <v>0</v>
      </c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</row>
    <row r="31" spans="2:63" ht="12.75" customHeight="1">
      <c r="B31" s="23"/>
      <c r="C31" s="24" t="s">
        <v>197</v>
      </c>
      <c r="D31" s="113">
        <f t="shared" ref="D31:AQ31" si="16">D27-D29+D30</f>
        <v>0</v>
      </c>
      <c r="E31" s="113">
        <f t="shared" si="16"/>
        <v>0</v>
      </c>
      <c r="F31" s="113">
        <f t="shared" si="16"/>
        <v>0</v>
      </c>
      <c r="G31" s="113">
        <f t="shared" si="16"/>
        <v>0</v>
      </c>
      <c r="H31" s="113">
        <f t="shared" si="16"/>
        <v>0</v>
      </c>
      <c r="I31" s="113">
        <f t="shared" si="16"/>
        <v>0</v>
      </c>
      <c r="J31" s="113">
        <f t="shared" si="16"/>
        <v>0</v>
      </c>
      <c r="K31" s="113">
        <f t="shared" si="16"/>
        <v>0</v>
      </c>
      <c r="L31" s="113">
        <f t="shared" si="16"/>
        <v>0</v>
      </c>
      <c r="M31" s="113">
        <f t="shared" si="16"/>
        <v>0</v>
      </c>
      <c r="N31" s="113">
        <f t="shared" si="16"/>
        <v>0</v>
      </c>
      <c r="O31" s="113">
        <f t="shared" si="16"/>
        <v>0</v>
      </c>
      <c r="P31" s="113">
        <f t="shared" si="16"/>
        <v>0</v>
      </c>
      <c r="Q31" s="113">
        <f t="shared" si="16"/>
        <v>0</v>
      </c>
      <c r="R31" s="113">
        <f t="shared" si="16"/>
        <v>0</v>
      </c>
      <c r="S31" s="113">
        <f t="shared" si="16"/>
        <v>0</v>
      </c>
      <c r="T31" s="113">
        <f t="shared" si="16"/>
        <v>0</v>
      </c>
      <c r="U31" s="113">
        <f t="shared" si="16"/>
        <v>0</v>
      </c>
      <c r="V31" s="113">
        <f t="shared" si="16"/>
        <v>0</v>
      </c>
      <c r="W31" s="113">
        <f t="shared" si="16"/>
        <v>0</v>
      </c>
      <c r="X31" s="113">
        <f t="shared" si="16"/>
        <v>0</v>
      </c>
      <c r="Y31" s="113">
        <f t="shared" si="16"/>
        <v>0</v>
      </c>
      <c r="Z31" s="113">
        <f t="shared" si="16"/>
        <v>0</v>
      </c>
      <c r="AA31" s="113">
        <f t="shared" si="16"/>
        <v>0</v>
      </c>
      <c r="AB31" s="113">
        <f t="shared" si="16"/>
        <v>0</v>
      </c>
      <c r="AC31" s="113">
        <f t="shared" si="16"/>
        <v>0</v>
      </c>
      <c r="AD31" s="113">
        <f t="shared" si="16"/>
        <v>0</v>
      </c>
      <c r="AE31" s="113">
        <f t="shared" si="16"/>
        <v>0</v>
      </c>
      <c r="AF31" s="113">
        <f t="shared" si="16"/>
        <v>0</v>
      </c>
      <c r="AG31" s="113">
        <f t="shared" si="16"/>
        <v>0</v>
      </c>
      <c r="AH31" s="113">
        <f t="shared" si="16"/>
        <v>0</v>
      </c>
      <c r="AI31" s="113">
        <f t="shared" si="16"/>
        <v>0</v>
      </c>
      <c r="AJ31" s="113">
        <f t="shared" si="16"/>
        <v>0</v>
      </c>
      <c r="AK31" s="113">
        <f t="shared" si="16"/>
        <v>0</v>
      </c>
      <c r="AL31" s="113">
        <f t="shared" si="16"/>
        <v>0</v>
      </c>
      <c r="AM31" s="113">
        <f t="shared" si="16"/>
        <v>0</v>
      </c>
      <c r="AN31" s="113">
        <f t="shared" si="16"/>
        <v>0</v>
      </c>
      <c r="AO31" s="113">
        <f t="shared" si="16"/>
        <v>0</v>
      </c>
      <c r="AP31" s="113">
        <f t="shared" si="16"/>
        <v>0</v>
      </c>
      <c r="AQ31" s="114">
        <f t="shared" si="16"/>
        <v>0</v>
      </c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</row>
    <row r="32" spans="2:63" ht="12.75" customHeight="1">
      <c r="B32" s="23"/>
      <c r="C32" s="24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4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</row>
    <row r="33" spans="2:63" ht="12.75" customHeight="1">
      <c r="B33" s="23" t="s">
        <v>201</v>
      </c>
      <c r="C33" s="24" t="s">
        <v>195</v>
      </c>
      <c r="D33" s="113">
        <f t="shared" ref="D33:AQ33" si="17">D$11</f>
        <v>0</v>
      </c>
      <c r="E33" s="113">
        <f t="shared" si="17"/>
        <v>0</v>
      </c>
      <c r="F33" s="113">
        <f t="shared" si="17"/>
        <v>0</v>
      </c>
      <c r="G33" s="113">
        <f t="shared" si="17"/>
        <v>0</v>
      </c>
      <c r="H33" s="113">
        <f t="shared" si="17"/>
        <v>0</v>
      </c>
      <c r="I33" s="113">
        <f t="shared" si="17"/>
        <v>0</v>
      </c>
      <c r="J33" s="113">
        <f t="shared" si="17"/>
        <v>0</v>
      </c>
      <c r="K33" s="113">
        <f t="shared" si="17"/>
        <v>0</v>
      </c>
      <c r="L33" s="113">
        <f t="shared" si="17"/>
        <v>0</v>
      </c>
      <c r="M33" s="113">
        <f t="shared" si="17"/>
        <v>0</v>
      </c>
      <c r="N33" s="113">
        <f t="shared" si="17"/>
        <v>0</v>
      </c>
      <c r="O33" s="113">
        <f t="shared" si="17"/>
        <v>0</v>
      </c>
      <c r="P33" s="113">
        <f t="shared" si="17"/>
        <v>0</v>
      </c>
      <c r="Q33" s="113">
        <f t="shared" si="17"/>
        <v>0</v>
      </c>
      <c r="R33" s="113">
        <f t="shared" si="17"/>
        <v>0</v>
      </c>
      <c r="S33" s="113">
        <f t="shared" si="17"/>
        <v>0</v>
      </c>
      <c r="T33" s="113">
        <f t="shared" si="17"/>
        <v>0</v>
      </c>
      <c r="U33" s="113">
        <f t="shared" si="17"/>
        <v>0</v>
      </c>
      <c r="V33" s="113">
        <f t="shared" si="17"/>
        <v>0</v>
      </c>
      <c r="W33" s="113">
        <f t="shared" si="17"/>
        <v>0</v>
      </c>
      <c r="X33" s="113">
        <f t="shared" si="17"/>
        <v>0</v>
      </c>
      <c r="Y33" s="113">
        <f t="shared" si="17"/>
        <v>0</v>
      </c>
      <c r="Z33" s="113">
        <f t="shared" si="17"/>
        <v>0</v>
      </c>
      <c r="AA33" s="113">
        <f t="shared" si="17"/>
        <v>0</v>
      </c>
      <c r="AB33" s="113">
        <f t="shared" si="17"/>
        <v>0</v>
      </c>
      <c r="AC33" s="113">
        <f t="shared" si="17"/>
        <v>0</v>
      </c>
      <c r="AD33" s="113">
        <f t="shared" si="17"/>
        <v>0</v>
      </c>
      <c r="AE33" s="113">
        <f t="shared" si="17"/>
        <v>0</v>
      </c>
      <c r="AF33" s="113">
        <f t="shared" si="17"/>
        <v>0</v>
      </c>
      <c r="AG33" s="113">
        <f t="shared" si="17"/>
        <v>0</v>
      </c>
      <c r="AH33" s="113">
        <f t="shared" si="17"/>
        <v>0</v>
      </c>
      <c r="AI33" s="113">
        <f t="shared" si="17"/>
        <v>0</v>
      </c>
      <c r="AJ33" s="113">
        <f t="shared" si="17"/>
        <v>0</v>
      </c>
      <c r="AK33" s="113">
        <f t="shared" si="17"/>
        <v>0</v>
      </c>
      <c r="AL33" s="113">
        <f t="shared" si="17"/>
        <v>0</v>
      </c>
      <c r="AM33" s="113">
        <f t="shared" si="17"/>
        <v>0</v>
      </c>
      <c r="AN33" s="113">
        <f t="shared" si="17"/>
        <v>0</v>
      </c>
      <c r="AO33" s="113">
        <f t="shared" si="17"/>
        <v>0</v>
      </c>
      <c r="AP33" s="113">
        <f t="shared" si="17"/>
        <v>0</v>
      </c>
      <c r="AQ33" s="114">
        <f t="shared" si="17"/>
        <v>0</v>
      </c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</row>
    <row r="34" spans="2:63" ht="12.75" customHeight="1">
      <c r="B34" s="23"/>
      <c r="C34" s="24" t="s">
        <v>196</v>
      </c>
      <c r="D34" s="113">
        <f t="shared" ref="D34:AQ34" si="18">D31*D$10/12</f>
        <v>0</v>
      </c>
      <c r="E34" s="113">
        <f t="shared" si="18"/>
        <v>0</v>
      </c>
      <c r="F34" s="113">
        <f t="shared" si="18"/>
        <v>0</v>
      </c>
      <c r="G34" s="113">
        <f t="shared" si="18"/>
        <v>0</v>
      </c>
      <c r="H34" s="113">
        <f t="shared" si="18"/>
        <v>0</v>
      </c>
      <c r="I34" s="113">
        <f t="shared" si="18"/>
        <v>0</v>
      </c>
      <c r="J34" s="113">
        <f t="shared" si="18"/>
        <v>0</v>
      </c>
      <c r="K34" s="113">
        <f t="shared" si="18"/>
        <v>0</v>
      </c>
      <c r="L34" s="113">
        <f t="shared" si="18"/>
        <v>0</v>
      </c>
      <c r="M34" s="113">
        <f t="shared" si="18"/>
        <v>0</v>
      </c>
      <c r="N34" s="113">
        <f t="shared" si="18"/>
        <v>0</v>
      </c>
      <c r="O34" s="113">
        <f t="shared" si="18"/>
        <v>0</v>
      </c>
      <c r="P34" s="113">
        <f t="shared" si="18"/>
        <v>0</v>
      </c>
      <c r="Q34" s="113">
        <f t="shared" si="18"/>
        <v>0</v>
      </c>
      <c r="R34" s="113">
        <f t="shared" si="18"/>
        <v>0</v>
      </c>
      <c r="S34" s="113">
        <f t="shared" si="18"/>
        <v>0</v>
      </c>
      <c r="T34" s="113">
        <f t="shared" si="18"/>
        <v>0</v>
      </c>
      <c r="U34" s="113">
        <f t="shared" si="18"/>
        <v>0</v>
      </c>
      <c r="V34" s="113">
        <f t="shared" si="18"/>
        <v>0</v>
      </c>
      <c r="W34" s="113">
        <f t="shared" si="18"/>
        <v>0</v>
      </c>
      <c r="X34" s="113">
        <f t="shared" si="18"/>
        <v>0</v>
      </c>
      <c r="Y34" s="113">
        <f t="shared" si="18"/>
        <v>0</v>
      </c>
      <c r="Z34" s="113">
        <f t="shared" si="18"/>
        <v>0</v>
      </c>
      <c r="AA34" s="113">
        <f t="shared" si="18"/>
        <v>0</v>
      </c>
      <c r="AB34" s="113">
        <f t="shared" si="18"/>
        <v>0</v>
      </c>
      <c r="AC34" s="113">
        <f t="shared" si="18"/>
        <v>0</v>
      </c>
      <c r="AD34" s="113">
        <f t="shared" si="18"/>
        <v>0</v>
      </c>
      <c r="AE34" s="113">
        <f t="shared" si="18"/>
        <v>0</v>
      </c>
      <c r="AF34" s="113">
        <f t="shared" si="18"/>
        <v>0</v>
      </c>
      <c r="AG34" s="113">
        <f t="shared" si="18"/>
        <v>0</v>
      </c>
      <c r="AH34" s="113">
        <f t="shared" si="18"/>
        <v>0</v>
      </c>
      <c r="AI34" s="113">
        <f t="shared" si="18"/>
        <v>0</v>
      </c>
      <c r="AJ34" s="113">
        <f t="shared" si="18"/>
        <v>0</v>
      </c>
      <c r="AK34" s="113">
        <f t="shared" si="18"/>
        <v>0</v>
      </c>
      <c r="AL34" s="113">
        <f t="shared" si="18"/>
        <v>0</v>
      </c>
      <c r="AM34" s="113">
        <f t="shared" si="18"/>
        <v>0</v>
      </c>
      <c r="AN34" s="113">
        <f t="shared" si="18"/>
        <v>0</v>
      </c>
      <c r="AO34" s="113">
        <f t="shared" si="18"/>
        <v>0</v>
      </c>
      <c r="AP34" s="113">
        <f t="shared" si="18"/>
        <v>0</v>
      </c>
      <c r="AQ34" s="114">
        <f t="shared" si="18"/>
        <v>0</v>
      </c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</row>
    <row r="35" spans="2:63" ht="12.75" customHeight="1">
      <c r="B35" s="23"/>
      <c r="C35" s="24" t="s">
        <v>197</v>
      </c>
      <c r="D35" s="113">
        <f t="shared" ref="D35:AQ35" si="19">D31-D33+D34</f>
        <v>0</v>
      </c>
      <c r="E35" s="113">
        <f t="shared" si="19"/>
        <v>0</v>
      </c>
      <c r="F35" s="113">
        <f t="shared" si="19"/>
        <v>0</v>
      </c>
      <c r="G35" s="113">
        <f t="shared" si="19"/>
        <v>0</v>
      </c>
      <c r="H35" s="113">
        <f t="shared" si="19"/>
        <v>0</v>
      </c>
      <c r="I35" s="113">
        <f t="shared" si="19"/>
        <v>0</v>
      </c>
      <c r="J35" s="113">
        <f t="shared" si="19"/>
        <v>0</v>
      </c>
      <c r="K35" s="113">
        <f t="shared" si="19"/>
        <v>0</v>
      </c>
      <c r="L35" s="113">
        <f t="shared" si="19"/>
        <v>0</v>
      </c>
      <c r="M35" s="113">
        <f t="shared" si="19"/>
        <v>0</v>
      </c>
      <c r="N35" s="113">
        <f t="shared" si="19"/>
        <v>0</v>
      </c>
      <c r="O35" s="113">
        <f t="shared" si="19"/>
        <v>0</v>
      </c>
      <c r="P35" s="113">
        <f t="shared" si="19"/>
        <v>0</v>
      </c>
      <c r="Q35" s="113">
        <f t="shared" si="19"/>
        <v>0</v>
      </c>
      <c r="R35" s="113">
        <f t="shared" si="19"/>
        <v>0</v>
      </c>
      <c r="S35" s="113">
        <f t="shared" si="19"/>
        <v>0</v>
      </c>
      <c r="T35" s="113">
        <f t="shared" si="19"/>
        <v>0</v>
      </c>
      <c r="U35" s="113">
        <f t="shared" si="19"/>
        <v>0</v>
      </c>
      <c r="V35" s="113">
        <f t="shared" si="19"/>
        <v>0</v>
      </c>
      <c r="W35" s="113">
        <f t="shared" si="19"/>
        <v>0</v>
      </c>
      <c r="X35" s="113">
        <f t="shared" si="19"/>
        <v>0</v>
      </c>
      <c r="Y35" s="113">
        <f t="shared" si="19"/>
        <v>0</v>
      </c>
      <c r="Z35" s="113">
        <f t="shared" si="19"/>
        <v>0</v>
      </c>
      <c r="AA35" s="113">
        <f t="shared" si="19"/>
        <v>0</v>
      </c>
      <c r="AB35" s="113">
        <f t="shared" si="19"/>
        <v>0</v>
      </c>
      <c r="AC35" s="113">
        <f t="shared" si="19"/>
        <v>0</v>
      </c>
      <c r="AD35" s="113">
        <f t="shared" si="19"/>
        <v>0</v>
      </c>
      <c r="AE35" s="113">
        <f t="shared" si="19"/>
        <v>0</v>
      </c>
      <c r="AF35" s="113">
        <f t="shared" si="19"/>
        <v>0</v>
      </c>
      <c r="AG35" s="113">
        <f t="shared" si="19"/>
        <v>0</v>
      </c>
      <c r="AH35" s="113">
        <f t="shared" si="19"/>
        <v>0</v>
      </c>
      <c r="AI35" s="113">
        <f t="shared" si="19"/>
        <v>0</v>
      </c>
      <c r="AJ35" s="113">
        <f t="shared" si="19"/>
        <v>0</v>
      </c>
      <c r="AK35" s="113">
        <f t="shared" si="19"/>
        <v>0</v>
      </c>
      <c r="AL35" s="113">
        <f t="shared" si="19"/>
        <v>0</v>
      </c>
      <c r="AM35" s="113">
        <f t="shared" si="19"/>
        <v>0</v>
      </c>
      <c r="AN35" s="113">
        <f t="shared" si="19"/>
        <v>0</v>
      </c>
      <c r="AO35" s="113">
        <f t="shared" si="19"/>
        <v>0</v>
      </c>
      <c r="AP35" s="113">
        <f t="shared" si="19"/>
        <v>0</v>
      </c>
      <c r="AQ35" s="114">
        <f t="shared" si="19"/>
        <v>0</v>
      </c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</row>
    <row r="36" spans="2:63" ht="12.75" customHeight="1">
      <c r="B36" s="23"/>
      <c r="C36" s="24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4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</row>
    <row r="37" spans="2:63" ht="12.75" customHeight="1">
      <c r="B37" s="23" t="s">
        <v>202</v>
      </c>
      <c r="C37" s="24" t="s">
        <v>195</v>
      </c>
      <c r="D37" s="113">
        <f t="shared" ref="D37:AQ37" si="20">D$11</f>
        <v>0</v>
      </c>
      <c r="E37" s="113">
        <f t="shared" si="20"/>
        <v>0</v>
      </c>
      <c r="F37" s="113">
        <f t="shared" si="20"/>
        <v>0</v>
      </c>
      <c r="G37" s="113">
        <f t="shared" si="20"/>
        <v>0</v>
      </c>
      <c r="H37" s="113">
        <f t="shared" si="20"/>
        <v>0</v>
      </c>
      <c r="I37" s="113">
        <f t="shared" si="20"/>
        <v>0</v>
      </c>
      <c r="J37" s="113">
        <f t="shared" si="20"/>
        <v>0</v>
      </c>
      <c r="K37" s="113">
        <f t="shared" si="20"/>
        <v>0</v>
      </c>
      <c r="L37" s="113">
        <f t="shared" si="20"/>
        <v>0</v>
      </c>
      <c r="M37" s="113">
        <f t="shared" si="20"/>
        <v>0</v>
      </c>
      <c r="N37" s="113">
        <f t="shared" si="20"/>
        <v>0</v>
      </c>
      <c r="O37" s="113">
        <f t="shared" si="20"/>
        <v>0</v>
      </c>
      <c r="P37" s="113">
        <f t="shared" si="20"/>
        <v>0</v>
      </c>
      <c r="Q37" s="113">
        <f t="shared" si="20"/>
        <v>0</v>
      </c>
      <c r="R37" s="113">
        <f t="shared" si="20"/>
        <v>0</v>
      </c>
      <c r="S37" s="113">
        <f t="shared" si="20"/>
        <v>0</v>
      </c>
      <c r="T37" s="113">
        <f t="shared" si="20"/>
        <v>0</v>
      </c>
      <c r="U37" s="113">
        <f t="shared" si="20"/>
        <v>0</v>
      </c>
      <c r="V37" s="113">
        <f t="shared" si="20"/>
        <v>0</v>
      </c>
      <c r="W37" s="113">
        <f t="shared" si="20"/>
        <v>0</v>
      </c>
      <c r="X37" s="113">
        <f t="shared" si="20"/>
        <v>0</v>
      </c>
      <c r="Y37" s="113">
        <f t="shared" si="20"/>
        <v>0</v>
      </c>
      <c r="Z37" s="113">
        <f t="shared" si="20"/>
        <v>0</v>
      </c>
      <c r="AA37" s="113">
        <f t="shared" si="20"/>
        <v>0</v>
      </c>
      <c r="AB37" s="113">
        <f t="shared" si="20"/>
        <v>0</v>
      </c>
      <c r="AC37" s="113">
        <f t="shared" si="20"/>
        <v>0</v>
      </c>
      <c r="AD37" s="113">
        <f t="shared" si="20"/>
        <v>0</v>
      </c>
      <c r="AE37" s="113">
        <f t="shared" si="20"/>
        <v>0</v>
      </c>
      <c r="AF37" s="113">
        <f t="shared" si="20"/>
        <v>0</v>
      </c>
      <c r="AG37" s="113">
        <f t="shared" si="20"/>
        <v>0</v>
      </c>
      <c r="AH37" s="113">
        <f t="shared" si="20"/>
        <v>0</v>
      </c>
      <c r="AI37" s="113">
        <f t="shared" si="20"/>
        <v>0</v>
      </c>
      <c r="AJ37" s="113">
        <f t="shared" si="20"/>
        <v>0</v>
      </c>
      <c r="AK37" s="113">
        <f t="shared" si="20"/>
        <v>0</v>
      </c>
      <c r="AL37" s="113">
        <f t="shared" si="20"/>
        <v>0</v>
      </c>
      <c r="AM37" s="113">
        <f t="shared" si="20"/>
        <v>0</v>
      </c>
      <c r="AN37" s="113">
        <f t="shared" si="20"/>
        <v>0</v>
      </c>
      <c r="AO37" s="113">
        <f t="shared" si="20"/>
        <v>0</v>
      </c>
      <c r="AP37" s="113">
        <f t="shared" si="20"/>
        <v>0</v>
      </c>
      <c r="AQ37" s="114">
        <f t="shared" si="20"/>
        <v>0</v>
      </c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</row>
    <row r="38" spans="2:63" ht="12.75" customHeight="1">
      <c r="B38" s="23"/>
      <c r="C38" s="24" t="s">
        <v>196</v>
      </c>
      <c r="D38" s="113">
        <f t="shared" ref="D38:AQ38" si="21">D35*D$10/12</f>
        <v>0</v>
      </c>
      <c r="E38" s="113">
        <f t="shared" si="21"/>
        <v>0</v>
      </c>
      <c r="F38" s="113">
        <f t="shared" si="21"/>
        <v>0</v>
      </c>
      <c r="G38" s="113">
        <f t="shared" si="21"/>
        <v>0</v>
      </c>
      <c r="H38" s="113">
        <f t="shared" si="21"/>
        <v>0</v>
      </c>
      <c r="I38" s="113">
        <f t="shared" si="21"/>
        <v>0</v>
      </c>
      <c r="J38" s="113">
        <f t="shared" si="21"/>
        <v>0</v>
      </c>
      <c r="K38" s="113">
        <f t="shared" si="21"/>
        <v>0</v>
      </c>
      <c r="L38" s="113">
        <f t="shared" si="21"/>
        <v>0</v>
      </c>
      <c r="M38" s="113">
        <f t="shared" si="21"/>
        <v>0</v>
      </c>
      <c r="N38" s="113">
        <f t="shared" si="21"/>
        <v>0</v>
      </c>
      <c r="O38" s="113">
        <f t="shared" si="21"/>
        <v>0</v>
      </c>
      <c r="P38" s="113">
        <f t="shared" si="21"/>
        <v>0</v>
      </c>
      <c r="Q38" s="113">
        <f t="shared" si="21"/>
        <v>0</v>
      </c>
      <c r="R38" s="113">
        <f t="shared" si="21"/>
        <v>0</v>
      </c>
      <c r="S38" s="113">
        <f t="shared" si="21"/>
        <v>0</v>
      </c>
      <c r="T38" s="113">
        <f t="shared" si="21"/>
        <v>0</v>
      </c>
      <c r="U38" s="113">
        <f t="shared" si="21"/>
        <v>0</v>
      </c>
      <c r="V38" s="113">
        <f t="shared" si="21"/>
        <v>0</v>
      </c>
      <c r="W38" s="113">
        <f t="shared" si="21"/>
        <v>0</v>
      </c>
      <c r="X38" s="113">
        <f t="shared" si="21"/>
        <v>0</v>
      </c>
      <c r="Y38" s="113">
        <f t="shared" si="21"/>
        <v>0</v>
      </c>
      <c r="Z38" s="113">
        <f t="shared" si="21"/>
        <v>0</v>
      </c>
      <c r="AA38" s="113">
        <f t="shared" si="21"/>
        <v>0</v>
      </c>
      <c r="AB38" s="113">
        <f t="shared" si="21"/>
        <v>0</v>
      </c>
      <c r="AC38" s="113">
        <f t="shared" si="21"/>
        <v>0</v>
      </c>
      <c r="AD38" s="113">
        <f t="shared" si="21"/>
        <v>0</v>
      </c>
      <c r="AE38" s="113">
        <f t="shared" si="21"/>
        <v>0</v>
      </c>
      <c r="AF38" s="113">
        <f t="shared" si="21"/>
        <v>0</v>
      </c>
      <c r="AG38" s="113">
        <f t="shared" si="21"/>
        <v>0</v>
      </c>
      <c r="AH38" s="113">
        <f t="shared" si="21"/>
        <v>0</v>
      </c>
      <c r="AI38" s="113">
        <f t="shared" si="21"/>
        <v>0</v>
      </c>
      <c r="AJ38" s="113">
        <f t="shared" si="21"/>
        <v>0</v>
      </c>
      <c r="AK38" s="113">
        <f t="shared" si="21"/>
        <v>0</v>
      </c>
      <c r="AL38" s="113">
        <f t="shared" si="21"/>
        <v>0</v>
      </c>
      <c r="AM38" s="113">
        <f t="shared" si="21"/>
        <v>0</v>
      </c>
      <c r="AN38" s="113">
        <f t="shared" si="21"/>
        <v>0</v>
      </c>
      <c r="AO38" s="113">
        <f t="shared" si="21"/>
        <v>0</v>
      </c>
      <c r="AP38" s="113">
        <f t="shared" si="21"/>
        <v>0</v>
      </c>
      <c r="AQ38" s="114">
        <f t="shared" si="21"/>
        <v>0</v>
      </c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</row>
    <row r="39" spans="2:63" ht="12.75" customHeight="1">
      <c r="B39" s="23"/>
      <c r="C39" s="24" t="s">
        <v>197</v>
      </c>
      <c r="D39" s="113">
        <f t="shared" ref="D39:AQ39" si="22">D35-D37+D38</f>
        <v>0</v>
      </c>
      <c r="E39" s="113">
        <f t="shared" si="22"/>
        <v>0</v>
      </c>
      <c r="F39" s="113">
        <f t="shared" si="22"/>
        <v>0</v>
      </c>
      <c r="G39" s="113">
        <f t="shared" si="22"/>
        <v>0</v>
      </c>
      <c r="H39" s="113">
        <f t="shared" si="22"/>
        <v>0</v>
      </c>
      <c r="I39" s="113">
        <f t="shared" si="22"/>
        <v>0</v>
      </c>
      <c r="J39" s="113">
        <f t="shared" si="22"/>
        <v>0</v>
      </c>
      <c r="K39" s="113">
        <f t="shared" si="22"/>
        <v>0</v>
      </c>
      <c r="L39" s="113">
        <f t="shared" si="22"/>
        <v>0</v>
      </c>
      <c r="M39" s="113">
        <f t="shared" si="22"/>
        <v>0</v>
      </c>
      <c r="N39" s="113">
        <f t="shared" si="22"/>
        <v>0</v>
      </c>
      <c r="O39" s="113">
        <f t="shared" si="22"/>
        <v>0</v>
      </c>
      <c r="P39" s="113">
        <f t="shared" si="22"/>
        <v>0</v>
      </c>
      <c r="Q39" s="113">
        <f t="shared" si="22"/>
        <v>0</v>
      </c>
      <c r="R39" s="113">
        <f t="shared" si="22"/>
        <v>0</v>
      </c>
      <c r="S39" s="113">
        <f t="shared" si="22"/>
        <v>0</v>
      </c>
      <c r="T39" s="113">
        <f t="shared" si="22"/>
        <v>0</v>
      </c>
      <c r="U39" s="113">
        <f t="shared" si="22"/>
        <v>0</v>
      </c>
      <c r="V39" s="113">
        <f t="shared" si="22"/>
        <v>0</v>
      </c>
      <c r="W39" s="113">
        <f t="shared" si="22"/>
        <v>0</v>
      </c>
      <c r="X39" s="113">
        <f t="shared" si="22"/>
        <v>0</v>
      </c>
      <c r="Y39" s="113">
        <f t="shared" si="22"/>
        <v>0</v>
      </c>
      <c r="Z39" s="113">
        <f t="shared" si="22"/>
        <v>0</v>
      </c>
      <c r="AA39" s="113">
        <f t="shared" si="22"/>
        <v>0</v>
      </c>
      <c r="AB39" s="113">
        <f t="shared" si="22"/>
        <v>0</v>
      </c>
      <c r="AC39" s="113">
        <f t="shared" si="22"/>
        <v>0</v>
      </c>
      <c r="AD39" s="113">
        <f t="shared" si="22"/>
        <v>0</v>
      </c>
      <c r="AE39" s="113">
        <f t="shared" si="22"/>
        <v>0</v>
      </c>
      <c r="AF39" s="113">
        <f t="shared" si="22"/>
        <v>0</v>
      </c>
      <c r="AG39" s="113">
        <f t="shared" si="22"/>
        <v>0</v>
      </c>
      <c r="AH39" s="113">
        <f t="shared" si="22"/>
        <v>0</v>
      </c>
      <c r="AI39" s="113">
        <f t="shared" si="22"/>
        <v>0</v>
      </c>
      <c r="AJ39" s="113">
        <f t="shared" si="22"/>
        <v>0</v>
      </c>
      <c r="AK39" s="113">
        <f t="shared" si="22"/>
        <v>0</v>
      </c>
      <c r="AL39" s="113">
        <f t="shared" si="22"/>
        <v>0</v>
      </c>
      <c r="AM39" s="113">
        <f t="shared" si="22"/>
        <v>0</v>
      </c>
      <c r="AN39" s="113">
        <f t="shared" si="22"/>
        <v>0</v>
      </c>
      <c r="AO39" s="113">
        <f t="shared" si="22"/>
        <v>0</v>
      </c>
      <c r="AP39" s="113">
        <f t="shared" si="22"/>
        <v>0</v>
      </c>
      <c r="AQ39" s="114">
        <f t="shared" si="22"/>
        <v>0</v>
      </c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</row>
    <row r="40" spans="2:63" ht="12.75" customHeight="1">
      <c r="B40" s="23"/>
      <c r="C40" s="24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4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</row>
    <row r="41" spans="2:63" ht="12.75" customHeight="1">
      <c r="B41" s="23" t="s">
        <v>203</v>
      </c>
      <c r="C41" s="24" t="s">
        <v>195</v>
      </c>
      <c r="D41" s="113">
        <f t="shared" ref="D41:AQ41" si="23">D$11</f>
        <v>0</v>
      </c>
      <c r="E41" s="113">
        <f t="shared" si="23"/>
        <v>0</v>
      </c>
      <c r="F41" s="113">
        <f t="shared" si="23"/>
        <v>0</v>
      </c>
      <c r="G41" s="113">
        <f t="shared" si="23"/>
        <v>0</v>
      </c>
      <c r="H41" s="113">
        <f t="shared" si="23"/>
        <v>0</v>
      </c>
      <c r="I41" s="113">
        <f t="shared" si="23"/>
        <v>0</v>
      </c>
      <c r="J41" s="113">
        <f t="shared" si="23"/>
        <v>0</v>
      </c>
      <c r="K41" s="113">
        <f t="shared" si="23"/>
        <v>0</v>
      </c>
      <c r="L41" s="113">
        <f t="shared" si="23"/>
        <v>0</v>
      </c>
      <c r="M41" s="113">
        <f t="shared" si="23"/>
        <v>0</v>
      </c>
      <c r="N41" s="113">
        <f t="shared" si="23"/>
        <v>0</v>
      </c>
      <c r="O41" s="113">
        <f t="shared" si="23"/>
        <v>0</v>
      </c>
      <c r="P41" s="113">
        <f t="shared" si="23"/>
        <v>0</v>
      </c>
      <c r="Q41" s="113">
        <f t="shared" si="23"/>
        <v>0</v>
      </c>
      <c r="R41" s="113">
        <f t="shared" si="23"/>
        <v>0</v>
      </c>
      <c r="S41" s="113">
        <f t="shared" si="23"/>
        <v>0</v>
      </c>
      <c r="T41" s="113">
        <f t="shared" si="23"/>
        <v>0</v>
      </c>
      <c r="U41" s="113">
        <f t="shared" si="23"/>
        <v>0</v>
      </c>
      <c r="V41" s="113">
        <f t="shared" si="23"/>
        <v>0</v>
      </c>
      <c r="W41" s="113">
        <f t="shared" si="23"/>
        <v>0</v>
      </c>
      <c r="X41" s="113">
        <f t="shared" si="23"/>
        <v>0</v>
      </c>
      <c r="Y41" s="113">
        <f t="shared" si="23"/>
        <v>0</v>
      </c>
      <c r="Z41" s="113">
        <f t="shared" si="23"/>
        <v>0</v>
      </c>
      <c r="AA41" s="113">
        <f t="shared" si="23"/>
        <v>0</v>
      </c>
      <c r="AB41" s="113">
        <f t="shared" si="23"/>
        <v>0</v>
      </c>
      <c r="AC41" s="113">
        <f t="shared" si="23"/>
        <v>0</v>
      </c>
      <c r="AD41" s="113">
        <f t="shared" si="23"/>
        <v>0</v>
      </c>
      <c r="AE41" s="113">
        <f t="shared" si="23"/>
        <v>0</v>
      </c>
      <c r="AF41" s="113">
        <f t="shared" si="23"/>
        <v>0</v>
      </c>
      <c r="AG41" s="113">
        <f t="shared" si="23"/>
        <v>0</v>
      </c>
      <c r="AH41" s="113">
        <f t="shared" si="23"/>
        <v>0</v>
      </c>
      <c r="AI41" s="113">
        <f t="shared" si="23"/>
        <v>0</v>
      </c>
      <c r="AJ41" s="113">
        <f t="shared" si="23"/>
        <v>0</v>
      </c>
      <c r="AK41" s="113">
        <f t="shared" si="23"/>
        <v>0</v>
      </c>
      <c r="AL41" s="113">
        <f t="shared" si="23"/>
        <v>0</v>
      </c>
      <c r="AM41" s="113">
        <f t="shared" si="23"/>
        <v>0</v>
      </c>
      <c r="AN41" s="113">
        <f t="shared" si="23"/>
        <v>0</v>
      </c>
      <c r="AO41" s="113">
        <f t="shared" si="23"/>
        <v>0</v>
      </c>
      <c r="AP41" s="113">
        <f t="shared" si="23"/>
        <v>0</v>
      </c>
      <c r="AQ41" s="114">
        <f t="shared" si="23"/>
        <v>0</v>
      </c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</row>
    <row r="42" spans="2:63" ht="12.75" customHeight="1">
      <c r="B42" s="23"/>
      <c r="C42" s="24" t="s">
        <v>196</v>
      </c>
      <c r="D42" s="113">
        <f t="shared" ref="D42:AQ42" si="24">D39*D$10/12</f>
        <v>0</v>
      </c>
      <c r="E42" s="113">
        <f t="shared" si="24"/>
        <v>0</v>
      </c>
      <c r="F42" s="113">
        <f t="shared" si="24"/>
        <v>0</v>
      </c>
      <c r="G42" s="113">
        <f t="shared" si="24"/>
        <v>0</v>
      </c>
      <c r="H42" s="113">
        <f t="shared" si="24"/>
        <v>0</v>
      </c>
      <c r="I42" s="113">
        <f t="shared" si="24"/>
        <v>0</v>
      </c>
      <c r="J42" s="113">
        <f t="shared" si="24"/>
        <v>0</v>
      </c>
      <c r="K42" s="113">
        <f t="shared" si="24"/>
        <v>0</v>
      </c>
      <c r="L42" s="113">
        <f t="shared" si="24"/>
        <v>0</v>
      </c>
      <c r="M42" s="113">
        <f t="shared" si="24"/>
        <v>0</v>
      </c>
      <c r="N42" s="113">
        <f t="shared" si="24"/>
        <v>0</v>
      </c>
      <c r="O42" s="113">
        <f t="shared" si="24"/>
        <v>0</v>
      </c>
      <c r="P42" s="113">
        <f t="shared" si="24"/>
        <v>0</v>
      </c>
      <c r="Q42" s="113">
        <f t="shared" si="24"/>
        <v>0</v>
      </c>
      <c r="R42" s="113">
        <f t="shared" si="24"/>
        <v>0</v>
      </c>
      <c r="S42" s="113">
        <f t="shared" si="24"/>
        <v>0</v>
      </c>
      <c r="T42" s="113">
        <f t="shared" si="24"/>
        <v>0</v>
      </c>
      <c r="U42" s="113">
        <f t="shared" si="24"/>
        <v>0</v>
      </c>
      <c r="V42" s="113">
        <f t="shared" si="24"/>
        <v>0</v>
      </c>
      <c r="W42" s="113">
        <f t="shared" si="24"/>
        <v>0</v>
      </c>
      <c r="X42" s="113">
        <f t="shared" si="24"/>
        <v>0</v>
      </c>
      <c r="Y42" s="113">
        <f t="shared" si="24"/>
        <v>0</v>
      </c>
      <c r="Z42" s="113">
        <f t="shared" si="24"/>
        <v>0</v>
      </c>
      <c r="AA42" s="113">
        <f t="shared" si="24"/>
        <v>0</v>
      </c>
      <c r="AB42" s="113">
        <f t="shared" si="24"/>
        <v>0</v>
      </c>
      <c r="AC42" s="113">
        <f t="shared" si="24"/>
        <v>0</v>
      </c>
      <c r="AD42" s="113">
        <f t="shared" si="24"/>
        <v>0</v>
      </c>
      <c r="AE42" s="113">
        <f t="shared" si="24"/>
        <v>0</v>
      </c>
      <c r="AF42" s="113">
        <f t="shared" si="24"/>
        <v>0</v>
      </c>
      <c r="AG42" s="113">
        <f t="shared" si="24"/>
        <v>0</v>
      </c>
      <c r="AH42" s="113">
        <f t="shared" si="24"/>
        <v>0</v>
      </c>
      <c r="AI42" s="113">
        <f t="shared" si="24"/>
        <v>0</v>
      </c>
      <c r="AJ42" s="113">
        <f t="shared" si="24"/>
        <v>0</v>
      </c>
      <c r="AK42" s="113">
        <f t="shared" si="24"/>
        <v>0</v>
      </c>
      <c r="AL42" s="113">
        <f t="shared" si="24"/>
        <v>0</v>
      </c>
      <c r="AM42" s="113">
        <f t="shared" si="24"/>
        <v>0</v>
      </c>
      <c r="AN42" s="113">
        <f t="shared" si="24"/>
        <v>0</v>
      </c>
      <c r="AO42" s="113">
        <f t="shared" si="24"/>
        <v>0</v>
      </c>
      <c r="AP42" s="113">
        <f t="shared" si="24"/>
        <v>0</v>
      </c>
      <c r="AQ42" s="114">
        <f t="shared" si="24"/>
        <v>0</v>
      </c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</row>
    <row r="43" spans="2:63" ht="12.75" customHeight="1">
      <c r="B43" s="23"/>
      <c r="C43" s="24" t="s">
        <v>197</v>
      </c>
      <c r="D43" s="113">
        <f t="shared" ref="D43:AQ43" si="25">D39-D41+D42</f>
        <v>0</v>
      </c>
      <c r="E43" s="113">
        <f t="shared" si="25"/>
        <v>0</v>
      </c>
      <c r="F43" s="113">
        <f t="shared" si="25"/>
        <v>0</v>
      </c>
      <c r="G43" s="113">
        <f t="shared" si="25"/>
        <v>0</v>
      </c>
      <c r="H43" s="113">
        <f t="shared" si="25"/>
        <v>0</v>
      </c>
      <c r="I43" s="113">
        <f t="shared" si="25"/>
        <v>0</v>
      </c>
      <c r="J43" s="113">
        <f t="shared" si="25"/>
        <v>0</v>
      </c>
      <c r="K43" s="113">
        <f t="shared" si="25"/>
        <v>0</v>
      </c>
      <c r="L43" s="113">
        <f t="shared" si="25"/>
        <v>0</v>
      </c>
      <c r="M43" s="113">
        <f t="shared" si="25"/>
        <v>0</v>
      </c>
      <c r="N43" s="113">
        <f t="shared" si="25"/>
        <v>0</v>
      </c>
      <c r="O43" s="113">
        <f t="shared" si="25"/>
        <v>0</v>
      </c>
      <c r="P43" s="113">
        <f t="shared" si="25"/>
        <v>0</v>
      </c>
      <c r="Q43" s="113">
        <f t="shared" si="25"/>
        <v>0</v>
      </c>
      <c r="R43" s="113">
        <f t="shared" si="25"/>
        <v>0</v>
      </c>
      <c r="S43" s="113">
        <f t="shared" si="25"/>
        <v>0</v>
      </c>
      <c r="T43" s="113">
        <f t="shared" si="25"/>
        <v>0</v>
      </c>
      <c r="U43" s="113">
        <f t="shared" si="25"/>
        <v>0</v>
      </c>
      <c r="V43" s="113">
        <f t="shared" si="25"/>
        <v>0</v>
      </c>
      <c r="W43" s="113">
        <f t="shared" si="25"/>
        <v>0</v>
      </c>
      <c r="X43" s="113">
        <f t="shared" si="25"/>
        <v>0</v>
      </c>
      <c r="Y43" s="113">
        <f t="shared" si="25"/>
        <v>0</v>
      </c>
      <c r="Z43" s="113">
        <f t="shared" si="25"/>
        <v>0</v>
      </c>
      <c r="AA43" s="113">
        <f t="shared" si="25"/>
        <v>0</v>
      </c>
      <c r="AB43" s="113">
        <f t="shared" si="25"/>
        <v>0</v>
      </c>
      <c r="AC43" s="113">
        <f t="shared" si="25"/>
        <v>0</v>
      </c>
      <c r="AD43" s="113">
        <f t="shared" si="25"/>
        <v>0</v>
      </c>
      <c r="AE43" s="113">
        <f t="shared" si="25"/>
        <v>0</v>
      </c>
      <c r="AF43" s="113">
        <f t="shared" si="25"/>
        <v>0</v>
      </c>
      <c r="AG43" s="113">
        <f t="shared" si="25"/>
        <v>0</v>
      </c>
      <c r="AH43" s="113">
        <f t="shared" si="25"/>
        <v>0</v>
      </c>
      <c r="AI43" s="113">
        <f t="shared" si="25"/>
        <v>0</v>
      </c>
      <c r="AJ43" s="113">
        <f t="shared" si="25"/>
        <v>0</v>
      </c>
      <c r="AK43" s="113">
        <f t="shared" si="25"/>
        <v>0</v>
      </c>
      <c r="AL43" s="113">
        <f t="shared" si="25"/>
        <v>0</v>
      </c>
      <c r="AM43" s="113">
        <f t="shared" si="25"/>
        <v>0</v>
      </c>
      <c r="AN43" s="113">
        <f t="shared" si="25"/>
        <v>0</v>
      </c>
      <c r="AO43" s="113">
        <f t="shared" si="25"/>
        <v>0</v>
      </c>
      <c r="AP43" s="113">
        <f t="shared" si="25"/>
        <v>0</v>
      </c>
      <c r="AQ43" s="114">
        <f t="shared" si="25"/>
        <v>0</v>
      </c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</row>
    <row r="44" spans="2:63" ht="12.75" customHeight="1">
      <c r="B44" s="23"/>
      <c r="C44" s="24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4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</row>
    <row r="45" spans="2:63" ht="12.75" customHeight="1">
      <c r="B45" s="23" t="s">
        <v>204</v>
      </c>
      <c r="C45" s="24" t="s">
        <v>195</v>
      </c>
      <c r="D45" s="113">
        <f t="shared" ref="D45:AQ45" si="26">D$11</f>
        <v>0</v>
      </c>
      <c r="E45" s="113">
        <f t="shared" si="26"/>
        <v>0</v>
      </c>
      <c r="F45" s="113">
        <f t="shared" si="26"/>
        <v>0</v>
      </c>
      <c r="G45" s="113">
        <f t="shared" si="26"/>
        <v>0</v>
      </c>
      <c r="H45" s="113">
        <f t="shared" si="26"/>
        <v>0</v>
      </c>
      <c r="I45" s="113">
        <f t="shared" si="26"/>
        <v>0</v>
      </c>
      <c r="J45" s="113">
        <f t="shared" si="26"/>
        <v>0</v>
      </c>
      <c r="K45" s="113">
        <f t="shared" si="26"/>
        <v>0</v>
      </c>
      <c r="L45" s="113">
        <f t="shared" si="26"/>
        <v>0</v>
      </c>
      <c r="M45" s="113">
        <f t="shared" si="26"/>
        <v>0</v>
      </c>
      <c r="N45" s="113">
        <f t="shared" si="26"/>
        <v>0</v>
      </c>
      <c r="O45" s="113">
        <f t="shared" si="26"/>
        <v>0</v>
      </c>
      <c r="P45" s="113">
        <f t="shared" si="26"/>
        <v>0</v>
      </c>
      <c r="Q45" s="113">
        <f t="shared" si="26"/>
        <v>0</v>
      </c>
      <c r="R45" s="113">
        <f t="shared" si="26"/>
        <v>0</v>
      </c>
      <c r="S45" s="113">
        <f t="shared" si="26"/>
        <v>0</v>
      </c>
      <c r="T45" s="113">
        <f t="shared" si="26"/>
        <v>0</v>
      </c>
      <c r="U45" s="113">
        <f t="shared" si="26"/>
        <v>0</v>
      </c>
      <c r="V45" s="113">
        <f t="shared" si="26"/>
        <v>0</v>
      </c>
      <c r="W45" s="113">
        <f t="shared" si="26"/>
        <v>0</v>
      </c>
      <c r="X45" s="113">
        <f t="shared" si="26"/>
        <v>0</v>
      </c>
      <c r="Y45" s="113">
        <f t="shared" si="26"/>
        <v>0</v>
      </c>
      <c r="Z45" s="113">
        <f t="shared" si="26"/>
        <v>0</v>
      </c>
      <c r="AA45" s="113">
        <f t="shared" si="26"/>
        <v>0</v>
      </c>
      <c r="AB45" s="113">
        <f t="shared" si="26"/>
        <v>0</v>
      </c>
      <c r="AC45" s="113">
        <f t="shared" si="26"/>
        <v>0</v>
      </c>
      <c r="AD45" s="113">
        <f t="shared" si="26"/>
        <v>0</v>
      </c>
      <c r="AE45" s="113">
        <f t="shared" si="26"/>
        <v>0</v>
      </c>
      <c r="AF45" s="113">
        <f t="shared" si="26"/>
        <v>0</v>
      </c>
      <c r="AG45" s="113">
        <f t="shared" si="26"/>
        <v>0</v>
      </c>
      <c r="AH45" s="113">
        <f t="shared" si="26"/>
        <v>0</v>
      </c>
      <c r="AI45" s="113">
        <f t="shared" si="26"/>
        <v>0</v>
      </c>
      <c r="AJ45" s="113">
        <f t="shared" si="26"/>
        <v>0</v>
      </c>
      <c r="AK45" s="113">
        <f t="shared" si="26"/>
        <v>0</v>
      </c>
      <c r="AL45" s="113">
        <f t="shared" si="26"/>
        <v>0</v>
      </c>
      <c r="AM45" s="113">
        <f t="shared" si="26"/>
        <v>0</v>
      </c>
      <c r="AN45" s="113">
        <f t="shared" si="26"/>
        <v>0</v>
      </c>
      <c r="AO45" s="113">
        <f t="shared" si="26"/>
        <v>0</v>
      </c>
      <c r="AP45" s="113">
        <f t="shared" si="26"/>
        <v>0</v>
      </c>
      <c r="AQ45" s="114">
        <f t="shared" si="26"/>
        <v>0</v>
      </c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</row>
    <row r="46" spans="2:63" ht="12.75" customHeight="1">
      <c r="B46" s="23"/>
      <c r="C46" s="24" t="s">
        <v>196</v>
      </c>
      <c r="D46" s="113">
        <f t="shared" ref="D46:AQ46" si="27">D43*D$10/12</f>
        <v>0</v>
      </c>
      <c r="E46" s="113">
        <f t="shared" si="27"/>
        <v>0</v>
      </c>
      <c r="F46" s="113">
        <f t="shared" si="27"/>
        <v>0</v>
      </c>
      <c r="G46" s="113">
        <f t="shared" si="27"/>
        <v>0</v>
      </c>
      <c r="H46" s="113">
        <f t="shared" si="27"/>
        <v>0</v>
      </c>
      <c r="I46" s="113">
        <f t="shared" si="27"/>
        <v>0</v>
      </c>
      <c r="J46" s="113">
        <f t="shared" si="27"/>
        <v>0</v>
      </c>
      <c r="K46" s="113">
        <f t="shared" si="27"/>
        <v>0</v>
      </c>
      <c r="L46" s="113">
        <f t="shared" si="27"/>
        <v>0</v>
      </c>
      <c r="M46" s="113">
        <f t="shared" si="27"/>
        <v>0</v>
      </c>
      <c r="N46" s="113">
        <f t="shared" si="27"/>
        <v>0</v>
      </c>
      <c r="O46" s="113">
        <f t="shared" si="27"/>
        <v>0</v>
      </c>
      <c r="P46" s="113">
        <f t="shared" si="27"/>
        <v>0</v>
      </c>
      <c r="Q46" s="113">
        <f t="shared" si="27"/>
        <v>0</v>
      </c>
      <c r="R46" s="113">
        <f t="shared" si="27"/>
        <v>0</v>
      </c>
      <c r="S46" s="113">
        <f t="shared" si="27"/>
        <v>0</v>
      </c>
      <c r="T46" s="113">
        <f t="shared" si="27"/>
        <v>0</v>
      </c>
      <c r="U46" s="113">
        <f t="shared" si="27"/>
        <v>0</v>
      </c>
      <c r="V46" s="113">
        <f t="shared" si="27"/>
        <v>0</v>
      </c>
      <c r="W46" s="113">
        <f t="shared" si="27"/>
        <v>0</v>
      </c>
      <c r="X46" s="113">
        <f t="shared" si="27"/>
        <v>0</v>
      </c>
      <c r="Y46" s="113">
        <f t="shared" si="27"/>
        <v>0</v>
      </c>
      <c r="Z46" s="113">
        <f t="shared" si="27"/>
        <v>0</v>
      </c>
      <c r="AA46" s="113">
        <f t="shared" si="27"/>
        <v>0</v>
      </c>
      <c r="AB46" s="113">
        <f t="shared" si="27"/>
        <v>0</v>
      </c>
      <c r="AC46" s="113">
        <f t="shared" si="27"/>
        <v>0</v>
      </c>
      <c r="AD46" s="113">
        <f t="shared" si="27"/>
        <v>0</v>
      </c>
      <c r="AE46" s="113">
        <f t="shared" si="27"/>
        <v>0</v>
      </c>
      <c r="AF46" s="113">
        <f t="shared" si="27"/>
        <v>0</v>
      </c>
      <c r="AG46" s="113">
        <f t="shared" si="27"/>
        <v>0</v>
      </c>
      <c r="AH46" s="113">
        <f t="shared" si="27"/>
        <v>0</v>
      </c>
      <c r="AI46" s="113">
        <f t="shared" si="27"/>
        <v>0</v>
      </c>
      <c r="AJ46" s="113">
        <f t="shared" si="27"/>
        <v>0</v>
      </c>
      <c r="AK46" s="113">
        <f t="shared" si="27"/>
        <v>0</v>
      </c>
      <c r="AL46" s="113">
        <f t="shared" si="27"/>
        <v>0</v>
      </c>
      <c r="AM46" s="113">
        <f t="shared" si="27"/>
        <v>0</v>
      </c>
      <c r="AN46" s="113">
        <f t="shared" si="27"/>
        <v>0</v>
      </c>
      <c r="AO46" s="113">
        <f t="shared" si="27"/>
        <v>0</v>
      </c>
      <c r="AP46" s="113">
        <f t="shared" si="27"/>
        <v>0</v>
      </c>
      <c r="AQ46" s="114">
        <f t="shared" si="27"/>
        <v>0</v>
      </c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</row>
    <row r="47" spans="2:63" ht="12.75" customHeight="1">
      <c r="B47" s="23"/>
      <c r="C47" s="24" t="s">
        <v>197</v>
      </c>
      <c r="D47" s="113">
        <f t="shared" ref="D47:AQ47" si="28">D43-D45+D46</f>
        <v>0</v>
      </c>
      <c r="E47" s="113">
        <f t="shared" si="28"/>
        <v>0</v>
      </c>
      <c r="F47" s="113">
        <f t="shared" si="28"/>
        <v>0</v>
      </c>
      <c r="G47" s="113">
        <f t="shared" si="28"/>
        <v>0</v>
      </c>
      <c r="H47" s="113">
        <f t="shared" si="28"/>
        <v>0</v>
      </c>
      <c r="I47" s="113">
        <f t="shared" si="28"/>
        <v>0</v>
      </c>
      <c r="J47" s="113">
        <f t="shared" si="28"/>
        <v>0</v>
      </c>
      <c r="K47" s="113">
        <f t="shared" si="28"/>
        <v>0</v>
      </c>
      <c r="L47" s="113">
        <f t="shared" si="28"/>
        <v>0</v>
      </c>
      <c r="M47" s="113">
        <f t="shared" si="28"/>
        <v>0</v>
      </c>
      <c r="N47" s="113">
        <f t="shared" si="28"/>
        <v>0</v>
      </c>
      <c r="O47" s="113">
        <f t="shared" si="28"/>
        <v>0</v>
      </c>
      <c r="P47" s="113">
        <f t="shared" si="28"/>
        <v>0</v>
      </c>
      <c r="Q47" s="113">
        <f t="shared" si="28"/>
        <v>0</v>
      </c>
      <c r="R47" s="113">
        <f t="shared" si="28"/>
        <v>0</v>
      </c>
      <c r="S47" s="113">
        <f t="shared" si="28"/>
        <v>0</v>
      </c>
      <c r="T47" s="113">
        <f t="shared" si="28"/>
        <v>0</v>
      </c>
      <c r="U47" s="113">
        <f t="shared" si="28"/>
        <v>0</v>
      </c>
      <c r="V47" s="113">
        <f t="shared" si="28"/>
        <v>0</v>
      </c>
      <c r="W47" s="113">
        <f t="shared" si="28"/>
        <v>0</v>
      </c>
      <c r="X47" s="113">
        <f t="shared" si="28"/>
        <v>0</v>
      </c>
      <c r="Y47" s="113">
        <f t="shared" si="28"/>
        <v>0</v>
      </c>
      <c r="Z47" s="113">
        <f t="shared" si="28"/>
        <v>0</v>
      </c>
      <c r="AA47" s="113">
        <f t="shared" si="28"/>
        <v>0</v>
      </c>
      <c r="AB47" s="113">
        <f t="shared" si="28"/>
        <v>0</v>
      </c>
      <c r="AC47" s="113">
        <f t="shared" si="28"/>
        <v>0</v>
      </c>
      <c r="AD47" s="113">
        <f t="shared" si="28"/>
        <v>0</v>
      </c>
      <c r="AE47" s="113">
        <f t="shared" si="28"/>
        <v>0</v>
      </c>
      <c r="AF47" s="113">
        <f t="shared" si="28"/>
        <v>0</v>
      </c>
      <c r="AG47" s="113">
        <f t="shared" si="28"/>
        <v>0</v>
      </c>
      <c r="AH47" s="113">
        <f t="shared" si="28"/>
        <v>0</v>
      </c>
      <c r="AI47" s="113">
        <f t="shared" si="28"/>
        <v>0</v>
      </c>
      <c r="AJ47" s="113">
        <f t="shared" si="28"/>
        <v>0</v>
      </c>
      <c r="AK47" s="113">
        <f t="shared" si="28"/>
        <v>0</v>
      </c>
      <c r="AL47" s="113">
        <f t="shared" si="28"/>
        <v>0</v>
      </c>
      <c r="AM47" s="113">
        <f t="shared" si="28"/>
        <v>0</v>
      </c>
      <c r="AN47" s="113">
        <f t="shared" si="28"/>
        <v>0</v>
      </c>
      <c r="AO47" s="113">
        <f t="shared" si="28"/>
        <v>0</v>
      </c>
      <c r="AP47" s="113">
        <f t="shared" si="28"/>
        <v>0</v>
      </c>
      <c r="AQ47" s="114">
        <f t="shared" si="28"/>
        <v>0</v>
      </c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</row>
    <row r="48" spans="2:63" ht="12.75" customHeight="1">
      <c r="B48" s="23"/>
      <c r="C48" s="24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4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</row>
    <row r="49" spans="2:63" ht="12.75" customHeight="1">
      <c r="B49" s="23" t="s">
        <v>205</v>
      </c>
      <c r="C49" s="24" t="s">
        <v>195</v>
      </c>
      <c r="D49" s="113">
        <f t="shared" ref="D49:AQ49" si="29">D$11</f>
        <v>0</v>
      </c>
      <c r="E49" s="113">
        <f t="shared" si="29"/>
        <v>0</v>
      </c>
      <c r="F49" s="113">
        <f t="shared" si="29"/>
        <v>0</v>
      </c>
      <c r="G49" s="113">
        <f t="shared" si="29"/>
        <v>0</v>
      </c>
      <c r="H49" s="113">
        <f t="shared" si="29"/>
        <v>0</v>
      </c>
      <c r="I49" s="113">
        <f t="shared" si="29"/>
        <v>0</v>
      </c>
      <c r="J49" s="113">
        <f t="shared" si="29"/>
        <v>0</v>
      </c>
      <c r="K49" s="113">
        <f t="shared" si="29"/>
        <v>0</v>
      </c>
      <c r="L49" s="113">
        <f t="shared" si="29"/>
        <v>0</v>
      </c>
      <c r="M49" s="113">
        <f t="shared" si="29"/>
        <v>0</v>
      </c>
      <c r="N49" s="113">
        <f t="shared" si="29"/>
        <v>0</v>
      </c>
      <c r="O49" s="113">
        <f t="shared" si="29"/>
        <v>0</v>
      </c>
      <c r="P49" s="113">
        <f t="shared" si="29"/>
        <v>0</v>
      </c>
      <c r="Q49" s="113">
        <f t="shared" si="29"/>
        <v>0</v>
      </c>
      <c r="R49" s="113">
        <f t="shared" si="29"/>
        <v>0</v>
      </c>
      <c r="S49" s="113">
        <f t="shared" si="29"/>
        <v>0</v>
      </c>
      <c r="T49" s="113">
        <f t="shared" si="29"/>
        <v>0</v>
      </c>
      <c r="U49" s="113">
        <f t="shared" si="29"/>
        <v>0</v>
      </c>
      <c r="V49" s="113">
        <f t="shared" si="29"/>
        <v>0</v>
      </c>
      <c r="W49" s="113">
        <f t="shared" si="29"/>
        <v>0</v>
      </c>
      <c r="X49" s="113">
        <f t="shared" si="29"/>
        <v>0</v>
      </c>
      <c r="Y49" s="113">
        <f t="shared" si="29"/>
        <v>0</v>
      </c>
      <c r="Z49" s="113">
        <f t="shared" si="29"/>
        <v>0</v>
      </c>
      <c r="AA49" s="113">
        <f t="shared" si="29"/>
        <v>0</v>
      </c>
      <c r="AB49" s="113">
        <f t="shared" si="29"/>
        <v>0</v>
      </c>
      <c r="AC49" s="113">
        <f t="shared" si="29"/>
        <v>0</v>
      </c>
      <c r="AD49" s="113">
        <f t="shared" si="29"/>
        <v>0</v>
      </c>
      <c r="AE49" s="113">
        <f t="shared" si="29"/>
        <v>0</v>
      </c>
      <c r="AF49" s="113">
        <f t="shared" si="29"/>
        <v>0</v>
      </c>
      <c r="AG49" s="113">
        <f t="shared" si="29"/>
        <v>0</v>
      </c>
      <c r="AH49" s="113">
        <f t="shared" si="29"/>
        <v>0</v>
      </c>
      <c r="AI49" s="113">
        <f t="shared" si="29"/>
        <v>0</v>
      </c>
      <c r="AJ49" s="113">
        <f t="shared" si="29"/>
        <v>0</v>
      </c>
      <c r="AK49" s="113">
        <f t="shared" si="29"/>
        <v>0</v>
      </c>
      <c r="AL49" s="113">
        <f t="shared" si="29"/>
        <v>0</v>
      </c>
      <c r="AM49" s="113">
        <f t="shared" si="29"/>
        <v>0</v>
      </c>
      <c r="AN49" s="113">
        <f t="shared" si="29"/>
        <v>0</v>
      </c>
      <c r="AO49" s="113">
        <f t="shared" si="29"/>
        <v>0</v>
      </c>
      <c r="AP49" s="113">
        <f t="shared" si="29"/>
        <v>0</v>
      </c>
      <c r="AQ49" s="114">
        <f t="shared" si="29"/>
        <v>0</v>
      </c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</row>
    <row r="50" spans="2:63" ht="12.75" customHeight="1">
      <c r="B50" s="23"/>
      <c r="C50" s="24" t="s">
        <v>196</v>
      </c>
      <c r="D50" s="113">
        <f t="shared" ref="D50:AQ50" si="30">D47*D$10/12</f>
        <v>0</v>
      </c>
      <c r="E50" s="113">
        <f t="shared" si="30"/>
        <v>0</v>
      </c>
      <c r="F50" s="113">
        <f t="shared" si="30"/>
        <v>0</v>
      </c>
      <c r="G50" s="113">
        <f t="shared" si="30"/>
        <v>0</v>
      </c>
      <c r="H50" s="113">
        <f t="shared" si="30"/>
        <v>0</v>
      </c>
      <c r="I50" s="113">
        <f t="shared" si="30"/>
        <v>0</v>
      </c>
      <c r="J50" s="113">
        <f t="shared" si="30"/>
        <v>0</v>
      </c>
      <c r="K50" s="113">
        <f t="shared" si="30"/>
        <v>0</v>
      </c>
      <c r="L50" s="113">
        <f t="shared" si="30"/>
        <v>0</v>
      </c>
      <c r="M50" s="113">
        <f t="shared" si="30"/>
        <v>0</v>
      </c>
      <c r="N50" s="113">
        <f t="shared" si="30"/>
        <v>0</v>
      </c>
      <c r="O50" s="113">
        <f t="shared" si="30"/>
        <v>0</v>
      </c>
      <c r="P50" s="113">
        <f t="shared" si="30"/>
        <v>0</v>
      </c>
      <c r="Q50" s="113">
        <f t="shared" si="30"/>
        <v>0</v>
      </c>
      <c r="R50" s="113">
        <f t="shared" si="30"/>
        <v>0</v>
      </c>
      <c r="S50" s="113">
        <f t="shared" si="30"/>
        <v>0</v>
      </c>
      <c r="T50" s="113">
        <f t="shared" si="30"/>
        <v>0</v>
      </c>
      <c r="U50" s="113">
        <f t="shared" si="30"/>
        <v>0</v>
      </c>
      <c r="V50" s="113">
        <f t="shared" si="30"/>
        <v>0</v>
      </c>
      <c r="W50" s="113">
        <f t="shared" si="30"/>
        <v>0</v>
      </c>
      <c r="X50" s="113">
        <f t="shared" si="30"/>
        <v>0</v>
      </c>
      <c r="Y50" s="113">
        <f t="shared" si="30"/>
        <v>0</v>
      </c>
      <c r="Z50" s="113">
        <f t="shared" si="30"/>
        <v>0</v>
      </c>
      <c r="AA50" s="113">
        <f t="shared" si="30"/>
        <v>0</v>
      </c>
      <c r="AB50" s="113">
        <f t="shared" si="30"/>
        <v>0</v>
      </c>
      <c r="AC50" s="113">
        <f t="shared" si="30"/>
        <v>0</v>
      </c>
      <c r="AD50" s="113">
        <f t="shared" si="30"/>
        <v>0</v>
      </c>
      <c r="AE50" s="113">
        <f t="shared" si="30"/>
        <v>0</v>
      </c>
      <c r="AF50" s="113">
        <f t="shared" si="30"/>
        <v>0</v>
      </c>
      <c r="AG50" s="113">
        <f t="shared" si="30"/>
        <v>0</v>
      </c>
      <c r="AH50" s="113">
        <f t="shared" si="30"/>
        <v>0</v>
      </c>
      <c r="AI50" s="113">
        <f t="shared" si="30"/>
        <v>0</v>
      </c>
      <c r="AJ50" s="113">
        <f t="shared" si="30"/>
        <v>0</v>
      </c>
      <c r="AK50" s="113">
        <f t="shared" si="30"/>
        <v>0</v>
      </c>
      <c r="AL50" s="113">
        <f t="shared" si="30"/>
        <v>0</v>
      </c>
      <c r="AM50" s="113">
        <f t="shared" si="30"/>
        <v>0</v>
      </c>
      <c r="AN50" s="113">
        <f t="shared" si="30"/>
        <v>0</v>
      </c>
      <c r="AO50" s="113">
        <f t="shared" si="30"/>
        <v>0</v>
      </c>
      <c r="AP50" s="113">
        <f t="shared" si="30"/>
        <v>0</v>
      </c>
      <c r="AQ50" s="114">
        <f t="shared" si="30"/>
        <v>0</v>
      </c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</row>
    <row r="51" spans="2:63" ht="12.75" customHeight="1">
      <c r="B51" s="23"/>
      <c r="C51" s="24" t="s">
        <v>197</v>
      </c>
      <c r="D51" s="113">
        <f t="shared" ref="D51:AQ51" si="31">D47-D49+D50</f>
        <v>0</v>
      </c>
      <c r="E51" s="113">
        <f t="shared" si="31"/>
        <v>0</v>
      </c>
      <c r="F51" s="113">
        <f t="shared" si="31"/>
        <v>0</v>
      </c>
      <c r="G51" s="113">
        <f t="shared" si="31"/>
        <v>0</v>
      </c>
      <c r="H51" s="113">
        <f t="shared" si="31"/>
        <v>0</v>
      </c>
      <c r="I51" s="113">
        <f t="shared" si="31"/>
        <v>0</v>
      </c>
      <c r="J51" s="113">
        <f t="shared" si="31"/>
        <v>0</v>
      </c>
      <c r="K51" s="113">
        <f t="shared" si="31"/>
        <v>0</v>
      </c>
      <c r="L51" s="113">
        <f t="shared" si="31"/>
        <v>0</v>
      </c>
      <c r="M51" s="113">
        <f t="shared" si="31"/>
        <v>0</v>
      </c>
      <c r="N51" s="113">
        <f t="shared" si="31"/>
        <v>0</v>
      </c>
      <c r="O51" s="113">
        <f t="shared" si="31"/>
        <v>0</v>
      </c>
      <c r="P51" s="113">
        <f t="shared" si="31"/>
        <v>0</v>
      </c>
      <c r="Q51" s="113">
        <f t="shared" si="31"/>
        <v>0</v>
      </c>
      <c r="R51" s="113">
        <f t="shared" si="31"/>
        <v>0</v>
      </c>
      <c r="S51" s="113">
        <f t="shared" si="31"/>
        <v>0</v>
      </c>
      <c r="T51" s="113">
        <f t="shared" si="31"/>
        <v>0</v>
      </c>
      <c r="U51" s="113">
        <f t="shared" si="31"/>
        <v>0</v>
      </c>
      <c r="V51" s="113">
        <f t="shared" si="31"/>
        <v>0</v>
      </c>
      <c r="W51" s="113">
        <f t="shared" si="31"/>
        <v>0</v>
      </c>
      <c r="X51" s="113">
        <f t="shared" si="31"/>
        <v>0</v>
      </c>
      <c r="Y51" s="113">
        <f t="shared" si="31"/>
        <v>0</v>
      </c>
      <c r="Z51" s="113">
        <f t="shared" si="31"/>
        <v>0</v>
      </c>
      <c r="AA51" s="113">
        <f t="shared" si="31"/>
        <v>0</v>
      </c>
      <c r="AB51" s="113">
        <f t="shared" si="31"/>
        <v>0</v>
      </c>
      <c r="AC51" s="113">
        <f t="shared" si="31"/>
        <v>0</v>
      </c>
      <c r="AD51" s="113">
        <f t="shared" si="31"/>
        <v>0</v>
      </c>
      <c r="AE51" s="113">
        <f t="shared" si="31"/>
        <v>0</v>
      </c>
      <c r="AF51" s="113">
        <f t="shared" si="31"/>
        <v>0</v>
      </c>
      <c r="AG51" s="113">
        <f t="shared" si="31"/>
        <v>0</v>
      </c>
      <c r="AH51" s="113">
        <f t="shared" si="31"/>
        <v>0</v>
      </c>
      <c r="AI51" s="113">
        <f t="shared" si="31"/>
        <v>0</v>
      </c>
      <c r="AJ51" s="113">
        <f t="shared" si="31"/>
        <v>0</v>
      </c>
      <c r="AK51" s="113">
        <f t="shared" si="31"/>
        <v>0</v>
      </c>
      <c r="AL51" s="113">
        <f t="shared" si="31"/>
        <v>0</v>
      </c>
      <c r="AM51" s="113">
        <f t="shared" si="31"/>
        <v>0</v>
      </c>
      <c r="AN51" s="113">
        <f t="shared" si="31"/>
        <v>0</v>
      </c>
      <c r="AO51" s="113">
        <f t="shared" si="31"/>
        <v>0</v>
      </c>
      <c r="AP51" s="113">
        <f t="shared" si="31"/>
        <v>0</v>
      </c>
      <c r="AQ51" s="114">
        <f t="shared" si="31"/>
        <v>0</v>
      </c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</row>
    <row r="52" spans="2:63" ht="12.75" customHeight="1">
      <c r="B52" s="23"/>
      <c r="C52" s="24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4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</row>
    <row r="53" spans="2:63" ht="12.75" customHeight="1">
      <c r="B53" s="23" t="s">
        <v>206</v>
      </c>
      <c r="C53" s="24" t="s">
        <v>195</v>
      </c>
      <c r="D53" s="113">
        <f t="shared" ref="D53:AQ53" si="32">D$11</f>
        <v>0</v>
      </c>
      <c r="E53" s="113">
        <f t="shared" si="32"/>
        <v>0</v>
      </c>
      <c r="F53" s="113">
        <f t="shared" si="32"/>
        <v>0</v>
      </c>
      <c r="G53" s="113">
        <f t="shared" si="32"/>
        <v>0</v>
      </c>
      <c r="H53" s="113">
        <f t="shared" si="32"/>
        <v>0</v>
      </c>
      <c r="I53" s="113">
        <f t="shared" si="32"/>
        <v>0</v>
      </c>
      <c r="J53" s="113">
        <f t="shared" si="32"/>
        <v>0</v>
      </c>
      <c r="K53" s="113">
        <f t="shared" si="32"/>
        <v>0</v>
      </c>
      <c r="L53" s="113">
        <f t="shared" si="32"/>
        <v>0</v>
      </c>
      <c r="M53" s="113">
        <f t="shared" si="32"/>
        <v>0</v>
      </c>
      <c r="N53" s="113">
        <f t="shared" si="32"/>
        <v>0</v>
      </c>
      <c r="O53" s="113">
        <f t="shared" si="32"/>
        <v>0</v>
      </c>
      <c r="P53" s="113">
        <f t="shared" si="32"/>
        <v>0</v>
      </c>
      <c r="Q53" s="113">
        <f t="shared" si="32"/>
        <v>0</v>
      </c>
      <c r="R53" s="113">
        <f t="shared" si="32"/>
        <v>0</v>
      </c>
      <c r="S53" s="113">
        <f t="shared" si="32"/>
        <v>0</v>
      </c>
      <c r="T53" s="113">
        <f t="shared" si="32"/>
        <v>0</v>
      </c>
      <c r="U53" s="113">
        <f t="shared" si="32"/>
        <v>0</v>
      </c>
      <c r="V53" s="113">
        <f t="shared" si="32"/>
        <v>0</v>
      </c>
      <c r="W53" s="113">
        <f t="shared" si="32"/>
        <v>0</v>
      </c>
      <c r="X53" s="113">
        <f t="shared" si="32"/>
        <v>0</v>
      </c>
      <c r="Y53" s="113">
        <f t="shared" si="32"/>
        <v>0</v>
      </c>
      <c r="Z53" s="113">
        <f t="shared" si="32"/>
        <v>0</v>
      </c>
      <c r="AA53" s="113">
        <f t="shared" si="32"/>
        <v>0</v>
      </c>
      <c r="AB53" s="113">
        <f t="shared" si="32"/>
        <v>0</v>
      </c>
      <c r="AC53" s="113">
        <f t="shared" si="32"/>
        <v>0</v>
      </c>
      <c r="AD53" s="113">
        <f t="shared" si="32"/>
        <v>0</v>
      </c>
      <c r="AE53" s="113">
        <f t="shared" si="32"/>
        <v>0</v>
      </c>
      <c r="AF53" s="113">
        <f t="shared" si="32"/>
        <v>0</v>
      </c>
      <c r="AG53" s="113">
        <f t="shared" si="32"/>
        <v>0</v>
      </c>
      <c r="AH53" s="113">
        <f t="shared" si="32"/>
        <v>0</v>
      </c>
      <c r="AI53" s="113">
        <f t="shared" si="32"/>
        <v>0</v>
      </c>
      <c r="AJ53" s="113">
        <f t="shared" si="32"/>
        <v>0</v>
      </c>
      <c r="AK53" s="113">
        <f t="shared" si="32"/>
        <v>0</v>
      </c>
      <c r="AL53" s="113">
        <f t="shared" si="32"/>
        <v>0</v>
      </c>
      <c r="AM53" s="113">
        <f t="shared" si="32"/>
        <v>0</v>
      </c>
      <c r="AN53" s="113">
        <f t="shared" si="32"/>
        <v>0</v>
      </c>
      <c r="AO53" s="113">
        <f t="shared" si="32"/>
        <v>0</v>
      </c>
      <c r="AP53" s="113">
        <f t="shared" si="32"/>
        <v>0</v>
      </c>
      <c r="AQ53" s="114">
        <f t="shared" si="32"/>
        <v>0</v>
      </c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</row>
    <row r="54" spans="2:63" ht="12.75" customHeight="1">
      <c r="B54" s="23"/>
      <c r="C54" s="24" t="s">
        <v>196</v>
      </c>
      <c r="D54" s="113">
        <f t="shared" ref="D54:AQ54" si="33">D51*D$10/12</f>
        <v>0</v>
      </c>
      <c r="E54" s="113">
        <f t="shared" si="33"/>
        <v>0</v>
      </c>
      <c r="F54" s="113">
        <f t="shared" si="33"/>
        <v>0</v>
      </c>
      <c r="G54" s="113">
        <f t="shared" si="33"/>
        <v>0</v>
      </c>
      <c r="H54" s="113">
        <f t="shared" si="33"/>
        <v>0</v>
      </c>
      <c r="I54" s="113">
        <f t="shared" si="33"/>
        <v>0</v>
      </c>
      <c r="J54" s="113">
        <f t="shared" si="33"/>
        <v>0</v>
      </c>
      <c r="K54" s="113">
        <f t="shared" si="33"/>
        <v>0</v>
      </c>
      <c r="L54" s="113">
        <f t="shared" si="33"/>
        <v>0</v>
      </c>
      <c r="M54" s="113">
        <f t="shared" si="33"/>
        <v>0</v>
      </c>
      <c r="N54" s="113">
        <f t="shared" si="33"/>
        <v>0</v>
      </c>
      <c r="O54" s="113">
        <f t="shared" si="33"/>
        <v>0</v>
      </c>
      <c r="P54" s="113">
        <f t="shared" si="33"/>
        <v>0</v>
      </c>
      <c r="Q54" s="113">
        <f t="shared" si="33"/>
        <v>0</v>
      </c>
      <c r="R54" s="113">
        <f t="shared" si="33"/>
        <v>0</v>
      </c>
      <c r="S54" s="113">
        <f t="shared" si="33"/>
        <v>0</v>
      </c>
      <c r="T54" s="113">
        <f t="shared" si="33"/>
        <v>0</v>
      </c>
      <c r="U54" s="113">
        <f t="shared" si="33"/>
        <v>0</v>
      </c>
      <c r="V54" s="113">
        <f t="shared" si="33"/>
        <v>0</v>
      </c>
      <c r="W54" s="113">
        <f t="shared" si="33"/>
        <v>0</v>
      </c>
      <c r="X54" s="113">
        <f t="shared" si="33"/>
        <v>0</v>
      </c>
      <c r="Y54" s="113">
        <f t="shared" si="33"/>
        <v>0</v>
      </c>
      <c r="Z54" s="113">
        <f t="shared" si="33"/>
        <v>0</v>
      </c>
      <c r="AA54" s="113">
        <f t="shared" si="33"/>
        <v>0</v>
      </c>
      <c r="AB54" s="113">
        <f t="shared" si="33"/>
        <v>0</v>
      </c>
      <c r="AC54" s="113">
        <f t="shared" si="33"/>
        <v>0</v>
      </c>
      <c r="AD54" s="113">
        <f t="shared" si="33"/>
        <v>0</v>
      </c>
      <c r="AE54" s="113">
        <f t="shared" si="33"/>
        <v>0</v>
      </c>
      <c r="AF54" s="113">
        <f t="shared" si="33"/>
        <v>0</v>
      </c>
      <c r="AG54" s="113">
        <f t="shared" si="33"/>
        <v>0</v>
      </c>
      <c r="AH54" s="113">
        <f t="shared" si="33"/>
        <v>0</v>
      </c>
      <c r="AI54" s="113">
        <f t="shared" si="33"/>
        <v>0</v>
      </c>
      <c r="AJ54" s="113">
        <f t="shared" si="33"/>
        <v>0</v>
      </c>
      <c r="AK54" s="113">
        <f t="shared" si="33"/>
        <v>0</v>
      </c>
      <c r="AL54" s="113">
        <f t="shared" si="33"/>
        <v>0</v>
      </c>
      <c r="AM54" s="113">
        <f t="shared" si="33"/>
        <v>0</v>
      </c>
      <c r="AN54" s="113">
        <f t="shared" si="33"/>
        <v>0</v>
      </c>
      <c r="AO54" s="113">
        <f t="shared" si="33"/>
        <v>0</v>
      </c>
      <c r="AP54" s="113">
        <f t="shared" si="33"/>
        <v>0</v>
      </c>
      <c r="AQ54" s="114">
        <f t="shared" si="33"/>
        <v>0</v>
      </c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</row>
    <row r="55" spans="2:63" ht="12.75" customHeight="1">
      <c r="B55" s="23"/>
      <c r="C55" s="24" t="s">
        <v>197</v>
      </c>
      <c r="D55" s="113">
        <f t="shared" ref="D55:AQ55" si="34">D51-D53+D54</f>
        <v>0</v>
      </c>
      <c r="E55" s="113">
        <f t="shared" si="34"/>
        <v>0</v>
      </c>
      <c r="F55" s="113">
        <f t="shared" si="34"/>
        <v>0</v>
      </c>
      <c r="G55" s="113">
        <f t="shared" si="34"/>
        <v>0</v>
      </c>
      <c r="H55" s="113">
        <f t="shared" si="34"/>
        <v>0</v>
      </c>
      <c r="I55" s="113">
        <f t="shared" si="34"/>
        <v>0</v>
      </c>
      <c r="J55" s="113">
        <f t="shared" si="34"/>
        <v>0</v>
      </c>
      <c r="K55" s="113">
        <f t="shared" si="34"/>
        <v>0</v>
      </c>
      <c r="L55" s="113">
        <f t="shared" si="34"/>
        <v>0</v>
      </c>
      <c r="M55" s="113">
        <f t="shared" si="34"/>
        <v>0</v>
      </c>
      <c r="N55" s="113">
        <f t="shared" si="34"/>
        <v>0</v>
      </c>
      <c r="O55" s="113">
        <f t="shared" si="34"/>
        <v>0</v>
      </c>
      <c r="P55" s="113">
        <f t="shared" si="34"/>
        <v>0</v>
      </c>
      <c r="Q55" s="113">
        <f t="shared" si="34"/>
        <v>0</v>
      </c>
      <c r="R55" s="113">
        <f t="shared" si="34"/>
        <v>0</v>
      </c>
      <c r="S55" s="113">
        <f t="shared" si="34"/>
        <v>0</v>
      </c>
      <c r="T55" s="113">
        <f t="shared" si="34"/>
        <v>0</v>
      </c>
      <c r="U55" s="113">
        <f t="shared" si="34"/>
        <v>0</v>
      </c>
      <c r="V55" s="113">
        <f t="shared" si="34"/>
        <v>0</v>
      </c>
      <c r="W55" s="113">
        <f t="shared" si="34"/>
        <v>0</v>
      </c>
      <c r="X55" s="113">
        <f t="shared" si="34"/>
        <v>0</v>
      </c>
      <c r="Y55" s="113">
        <f t="shared" si="34"/>
        <v>0</v>
      </c>
      <c r="Z55" s="113">
        <f t="shared" si="34"/>
        <v>0</v>
      </c>
      <c r="AA55" s="113">
        <f t="shared" si="34"/>
        <v>0</v>
      </c>
      <c r="AB55" s="113">
        <f t="shared" si="34"/>
        <v>0</v>
      </c>
      <c r="AC55" s="113">
        <f t="shared" si="34"/>
        <v>0</v>
      </c>
      <c r="AD55" s="113">
        <f t="shared" si="34"/>
        <v>0</v>
      </c>
      <c r="AE55" s="113">
        <f t="shared" si="34"/>
        <v>0</v>
      </c>
      <c r="AF55" s="113">
        <f t="shared" si="34"/>
        <v>0</v>
      </c>
      <c r="AG55" s="113">
        <f t="shared" si="34"/>
        <v>0</v>
      </c>
      <c r="AH55" s="113">
        <f t="shared" si="34"/>
        <v>0</v>
      </c>
      <c r="AI55" s="113">
        <f t="shared" si="34"/>
        <v>0</v>
      </c>
      <c r="AJ55" s="113">
        <f t="shared" si="34"/>
        <v>0</v>
      </c>
      <c r="AK55" s="113">
        <f t="shared" si="34"/>
        <v>0</v>
      </c>
      <c r="AL55" s="113">
        <f t="shared" si="34"/>
        <v>0</v>
      </c>
      <c r="AM55" s="113">
        <f t="shared" si="34"/>
        <v>0</v>
      </c>
      <c r="AN55" s="113">
        <f t="shared" si="34"/>
        <v>0</v>
      </c>
      <c r="AO55" s="113">
        <f t="shared" si="34"/>
        <v>0</v>
      </c>
      <c r="AP55" s="113">
        <f t="shared" si="34"/>
        <v>0</v>
      </c>
      <c r="AQ55" s="114">
        <f t="shared" si="34"/>
        <v>0</v>
      </c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</row>
    <row r="56" spans="2:63" ht="12.75" customHeight="1">
      <c r="B56" s="23"/>
      <c r="C56" s="24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4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</row>
    <row r="57" spans="2:63" ht="12.75" customHeight="1">
      <c r="B57" s="23" t="s">
        <v>207</v>
      </c>
      <c r="C57" s="24" t="s">
        <v>195</v>
      </c>
      <c r="D57" s="113">
        <f t="shared" ref="D57:AQ57" si="35">D$11</f>
        <v>0</v>
      </c>
      <c r="E57" s="113">
        <f t="shared" si="35"/>
        <v>0</v>
      </c>
      <c r="F57" s="113">
        <f t="shared" si="35"/>
        <v>0</v>
      </c>
      <c r="G57" s="113">
        <f t="shared" si="35"/>
        <v>0</v>
      </c>
      <c r="H57" s="113">
        <f t="shared" si="35"/>
        <v>0</v>
      </c>
      <c r="I57" s="113">
        <f t="shared" si="35"/>
        <v>0</v>
      </c>
      <c r="J57" s="113">
        <f t="shared" si="35"/>
        <v>0</v>
      </c>
      <c r="K57" s="113">
        <f t="shared" si="35"/>
        <v>0</v>
      </c>
      <c r="L57" s="113">
        <f t="shared" si="35"/>
        <v>0</v>
      </c>
      <c r="M57" s="113">
        <f t="shared" si="35"/>
        <v>0</v>
      </c>
      <c r="N57" s="113">
        <f t="shared" si="35"/>
        <v>0</v>
      </c>
      <c r="O57" s="113">
        <f t="shared" si="35"/>
        <v>0</v>
      </c>
      <c r="P57" s="113">
        <f t="shared" si="35"/>
        <v>0</v>
      </c>
      <c r="Q57" s="113">
        <f t="shared" si="35"/>
        <v>0</v>
      </c>
      <c r="R57" s="113">
        <f t="shared" si="35"/>
        <v>0</v>
      </c>
      <c r="S57" s="113">
        <f t="shared" si="35"/>
        <v>0</v>
      </c>
      <c r="T57" s="113">
        <f t="shared" si="35"/>
        <v>0</v>
      </c>
      <c r="U57" s="113">
        <f t="shared" si="35"/>
        <v>0</v>
      </c>
      <c r="V57" s="113">
        <f t="shared" si="35"/>
        <v>0</v>
      </c>
      <c r="W57" s="113">
        <f t="shared" si="35"/>
        <v>0</v>
      </c>
      <c r="X57" s="113">
        <f t="shared" si="35"/>
        <v>0</v>
      </c>
      <c r="Y57" s="113">
        <f t="shared" si="35"/>
        <v>0</v>
      </c>
      <c r="Z57" s="113">
        <f t="shared" si="35"/>
        <v>0</v>
      </c>
      <c r="AA57" s="113">
        <f t="shared" si="35"/>
        <v>0</v>
      </c>
      <c r="AB57" s="113">
        <f t="shared" si="35"/>
        <v>0</v>
      </c>
      <c r="AC57" s="113">
        <f t="shared" si="35"/>
        <v>0</v>
      </c>
      <c r="AD57" s="113">
        <f t="shared" si="35"/>
        <v>0</v>
      </c>
      <c r="AE57" s="113">
        <f t="shared" si="35"/>
        <v>0</v>
      </c>
      <c r="AF57" s="113">
        <f t="shared" si="35"/>
        <v>0</v>
      </c>
      <c r="AG57" s="113">
        <f t="shared" si="35"/>
        <v>0</v>
      </c>
      <c r="AH57" s="113">
        <f t="shared" si="35"/>
        <v>0</v>
      </c>
      <c r="AI57" s="113">
        <f t="shared" si="35"/>
        <v>0</v>
      </c>
      <c r="AJ57" s="113">
        <f t="shared" si="35"/>
        <v>0</v>
      </c>
      <c r="AK57" s="113">
        <f t="shared" si="35"/>
        <v>0</v>
      </c>
      <c r="AL57" s="113">
        <f t="shared" si="35"/>
        <v>0</v>
      </c>
      <c r="AM57" s="113">
        <f t="shared" si="35"/>
        <v>0</v>
      </c>
      <c r="AN57" s="113">
        <f t="shared" si="35"/>
        <v>0</v>
      </c>
      <c r="AO57" s="113">
        <f t="shared" si="35"/>
        <v>0</v>
      </c>
      <c r="AP57" s="113">
        <f t="shared" si="35"/>
        <v>0</v>
      </c>
      <c r="AQ57" s="114">
        <f t="shared" si="35"/>
        <v>0</v>
      </c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</row>
    <row r="58" spans="2:63" ht="12.75" customHeight="1">
      <c r="B58" s="23"/>
      <c r="C58" s="24" t="s">
        <v>196</v>
      </c>
      <c r="D58" s="113">
        <f t="shared" ref="D58:AQ58" si="36">D55*D$10/12</f>
        <v>0</v>
      </c>
      <c r="E58" s="113">
        <f t="shared" si="36"/>
        <v>0</v>
      </c>
      <c r="F58" s="113">
        <f t="shared" si="36"/>
        <v>0</v>
      </c>
      <c r="G58" s="113">
        <f t="shared" si="36"/>
        <v>0</v>
      </c>
      <c r="H58" s="113">
        <f t="shared" si="36"/>
        <v>0</v>
      </c>
      <c r="I58" s="113">
        <f t="shared" si="36"/>
        <v>0</v>
      </c>
      <c r="J58" s="113">
        <f t="shared" si="36"/>
        <v>0</v>
      </c>
      <c r="K58" s="113">
        <f t="shared" si="36"/>
        <v>0</v>
      </c>
      <c r="L58" s="113">
        <f t="shared" si="36"/>
        <v>0</v>
      </c>
      <c r="M58" s="113">
        <f t="shared" si="36"/>
        <v>0</v>
      </c>
      <c r="N58" s="113">
        <f t="shared" si="36"/>
        <v>0</v>
      </c>
      <c r="O58" s="113">
        <f t="shared" si="36"/>
        <v>0</v>
      </c>
      <c r="P58" s="113">
        <f t="shared" si="36"/>
        <v>0</v>
      </c>
      <c r="Q58" s="113">
        <f t="shared" si="36"/>
        <v>0</v>
      </c>
      <c r="R58" s="113">
        <f t="shared" si="36"/>
        <v>0</v>
      </c>
      <c r="S58" s="113">
        <f t="shared" si="36"/>
        <v>0</v>
      </c>
      <c r="T58" s="113">
        <f t="shared" si="36"/>
        <v>0</v>
      </c>
      <c r="U58" s="113">
        <f t="shared" si="36"/>
        <v>0</v>
      </c>
      <c r="V58" s="113">
        <f t="shared" si="36"/>
        <v>0</v>
      </c>
      <c r="W58" s="113">
        <f t="shared" si="36"/>
        <v>0</v>
      </c>
      <c r="X58" s="113">
        <f t="shared" si="36"/>
        <v>0</v>
      </c>
      <c r="Y58" s="113">
        <f t="shared" si="36"/>
        <v>0</v>
      </c>
      <c r="Z58" s="113">
        <f t="shared" si="36"/>
        <v>0</v>
      </c>
      <c r="AA58" s="113">
        <f t="shared" si="36"/>
        <v>0</v>
      </c>
      <c r="AB58" s="113">
        <f t="shared" si="36"/>
        <v>0</v>
      </c>
      <c r="AC58" s="113">
        <f t="shared" si="36"/>
        <v>0</v>
      </c>
      <c r="AD58" s="113">
        <f t="shared" si="36"/>
        <v>0</v>
      </c>
      <c r="AE58" s="113">
        <f t="shared" si="36"/>
        <v>0</v>
      </c>
      <c r="AF58" s="113">
        <f t="shared" si="36"/>
        <v>0</v>
      </c>
      <c r="AG58" s="113">
        <f t="shared" si="36"/>
        <v>0</v>
      </c>
      <c r="AH58" s="113">
        <f t="shared" si="36"/>
        <v>0</v>
      </c>
      <c r="AI58" s="113">
        <f t="shared" si="36"/>
        <v>0</v>
      </c>
      <c r="AJ58" s="113">
        <f t="shared" si="36"/>
        <v>0</v>
      </c>
      <c r="AK58" s="113">
        <f t="shared" si="36"/>
        <v>0</v>
      </c>
      <c r="AL58" s="113">
        <f t="shared" si="36"/>
        <v>0</v>
      </c>
      <c r="AM58" s="113">
        <f t="shared" si="36"/>
        <v>0</v>
      </c>
      <c r="AN58" s="113">
        <f t="shared" si="36"/>
        <v>0</v>
      </c>
      <c r="AO58" s="113">
        <f t="shared" si="36"/>
        <v>0</v>
      </c>
      <c r="AP58" s="113">
        <f t="shared" si="36"/>
        <v>0</v>
      </c>
      <c r="AQ58" s="114">
        <f t="shared" si="36"/>
        <v>0</v>
      </c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</row>
    <row r="59" spans="2:63" ht="12.75" customHeight="1">
      <c r="B59" s="23"/>
      <c r="C59" s="24" t="s">
        <v>197</v>
      </c>
      <c r="D59" s="113">
        <f t="shared" ref="D59:AQ59" si="37">D55-D57+D58</f>
        <v>0</v>
      </c>
      <c r="E59" s="113">
        <f t="shared" si="37"/>
        <v>0</v>
      </c>
      <c r="F59" s="113">
        <f t="shared" si="37"/>
        <v>0</v>
      </c>
      <c r="G59" s="113">
        <f t="shared" si="37"/>
        <v>0</v>
      </c>
      <c r="H59" s="113">
        <f t="shared" si="37"/>
        <v>0</v>
      </c>
      <c r="I59" s="113">
        <f t="shared" si="37"/>
        <v>0</v>
      </c>
      <c r="J59" s="113">
        <f t="shared" si="37"/>
        <v>0</v>
      </c>
      <c r="K59" s="113">
        <f t="shared" si="37"/>
        <v>0</v>
      </c>
      <c r="L59" s="113">
        <f t="shared" si="37"/>
        <v>0</v>
      </c>
      <c r="M59" s="113">
        <f t="shared" si="37"/>
        <v>0</v>
      </c>
      <c r="N59" s="113">
        <f t="shared" si="37"/>
        <v>0</v>
      </c>
      <c r="O59" s="113">
        <f t="shared" si="37"/>
        <v>0</v>
      </c>
      <c r="P59" s="113">
        <f t="shared" si="37"/>
        <v>0</v>
      </c>
      <c r="Q59" s="113">
        <f t="shared" si="37"/>
        <v>0</v>
      </c>
      <c r="R59" s="113">
        <f t="shared" si="37"/>
        <v>0</v>
      </c>
      <c r="S59" s="113">
        <f t="shared" si="37"/>
        <v>0</v>
      </c>
      <c r="T59" s="113">
        <f t="shared" si="37"/>
        <v>0</v>
      </c>
      <c r="U59" s="113">
        <f t="shared" si="37"/>
        <v>0</v>
      </c>
      <c r="V59" s="113">
        <f t="shared" si="37"/>
        <v>0</v>
      </c>
      <c r="W59" s="113">
        <f t="shared" si="37"/>
        <v>0</v>
      </c>
      <c r="X59" s="113">
        <f t="shared" si="37"/>
        <v>0</v>
      </c>
      <c r="Y59" s="113">
        <f t="shared" si="37"/>
        <v>0</v>
      </c>
      <c r="Z59" s="113">
        <f t="shared" si="37"/>
        <v>0</v>
      </c>
      <c r="AA59" s="113">
        <f t="shared" si="37"/>
        <v>0</v>
      </c>
      <c r="AB59" s="113">
        <f t="shared" si="37"/>
        <v>0</v>
      </c>
      <c r="AC59" s="113">
        <f t="shared" si="37"/>
        <v>0</v>
      </c>
      <c r="AD59" s="113">
        <f t="shared" si="37"/>
        <v>0</v>
      </c>
      <c r="AE59" s="113">
        <f t="shared" si="37"/>
        <v>0</v>
      </c>
      <c r="AF59" s="113">
        <f t="shared" si="37"/>
        <v>0</v>
      </c>
      <c r="AG59" s="113">
        <f t="shared" si="37"/>
        <v>0</v>
      </c>
      <c r="AH59" s="113">
        <f t="shared" si="37"/>
        <v>0</v>
      </c>
      <c r="AI59" s="113">
        <f t="shared" si="37"/>
        <v>0</v>
      </c>
      <c r="AJ59" s="113">
        <f t="shared" si="37"/>
        <v>0</v>
      </c>
      <c r="AK59" s="113">
        <f t="shared" si="37"/>
        <v>0</v>
      </c>
      <c r="AL59" s="113">
        <f t="shared" si="37"/>
        <v>0</v>
      </c>
      <c r="AM59" s="113">
        <f t="shared" si="37"/>
        <v>0</v>
      </c>
      <c r="AN59" s="113">
        <f t="shared" si="37"/>
        <v>0</v>
      </c>
      <c r="AO59" s="113">
        <f t="shared" si="37"/>
        <v>0</v>
      </c>
      <c r="AP59" s="113">
        <f t="shared" si="37"/>
        <v>0</v>
      </c>
      <c r="AQ59" s="114">
        <f t="shared" si="37"/>
        <v>0</v>
      </c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</row>
    <row r="60" spans="2:63" ht="12.75" customHeight="1">
      <c r="B60" s="23"/>
      <c r="C60" s="2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4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</row>
    <row r="61" spans="2:63" ht="12.75" customHeight="1">
      <c r="B61" s="23" t="s">
        <v>208</v>
      </c>
      <c r="C61" s="24" t="s">
        <v>195</v>
      </c>
      <c r="D61" s="113">
        <f t="shared" ref="D61:AQ61" si="38">IF($E$5="Yes",IF(D$9=$C$5,$C$3+D62,D$11),D$11)</f>
        <v>0</v>
      </c>
      <c r="E61" s="113">
        <f t="shared" si="38"/>
        <v>0</v>
      </c>
      <c r="F61" s="113">
        <f t="shared" si="38"/>
        <v>0</v>
      </c>
      <c r="G61" s="113">
        <f t="shared" si="38"/>
        <v>0</v>
      </c>
      <c r="H61" s="113">
        <f t="shared" si="38"/>
        <v>0</v>
      </c>
      <c r="I61" s="113">
        <f t="shared" si="38"/>
        <v>0</v>
      </c>
      <c r="J61" s="113">
        <f t="shared" si="38"/>
        <v>0</v>
      </c>
      <c r="K61" s="113">
        <f t="shared" si="38"/>
        <v>0</v>
      </c>
      <c r="L61" s="113">
        <f t="shared" si="38"/>
        <v>0</v>
      </c>
      <c r="M61" s="113">
        <f t="shared" si="38"/>
        <v>0</v>
      </c>
      <c r="N61" s="113">
        <f t="shared" si="38"/>
        <v>0</v>
      </c>
      <c r="O61" s="113">
        <f t="shared" si="38"/>
        <v>0</v>
      </c>
      <c r="P61" s="113">
        <f t="shared" si="38"/>
        <v>0</v>
      </c>
      <c r="Q61" s="113">
        <f t="shared" si="38"/>
        <v>0</v>
      </c>
      <c r="R61" s="113">
        <f t="shared" si="38"/>
        <v>0</v>
      </c>
      <c r="S61" s="113">
        <f t="shared" si="38"/>
        <v>0</v>
      </c>
      <c r="T61" s="113">
        <f t="shared" si="38"/>
        <v>0</v>
      </c>
      <c r="U61" s="113">
        <f t="shared" si="38"/>
        <v>0</v>
      </c>
      <c r="V61" s="113">
        <f t="shared" si="38"/>
        <v>0</v>
      </c>
      <c r="W61" s="113">
        <f t="shared" si="38"/>
        <v>0</v>
      </c>
      <c r="X61" s="113">
        <f t="shared" si="38"/>
        <v>0</v>
      </c>
      <c r="Y61" s="113">
        <f t="shared" si="38"/>
        <v>0</v>
      </c>
      <c r="Z61" s="113">
        <f t="shared" si="38"/>
        <v>0</v>
      </c>
      <c r="AA61" s="113">
        <f t="shared" si="38"/>
        <v>0</v>
      </c>
      <c r="AB61" s="113">
        <f t="shared" si="38"/>
        <v>0</v>
      </c>
      <c r="AC61" s="113">
        <f t="shared" si="38"/>
        <v>0</v>
      </c>
      <c r="AD61" s="113">
        <f t="shared" si="38"/>
        <v>0</v>
      </c>
      <c r="AE61" s="113">
        <f t="shared" si="38"/>
        <v>0</v>
      </c>
      <c r="AF61" s="113">
        <f t="shared" si="38"/>
        <v>0</v>
      </c>
      <c r="AG61" s="113">
        <f t="shared" si="38"/>
        <v>0</v>
      </c>
      <c r="AH61" s="113">
        <f t="shared" si="38"/>
        <v>0</v>
      </c>
      <c r="AI61" s="113">
        <f t="shared" si="38"/>
        <v>0</v>
      </c>
      <c r="AJ61" s="113">
        <f t="shared" si="38"/>
        <v>0</v>
      </c>
      <c r="AK61" s="113">
        <f t="shared" si="38"/>
        <v>0</v>
      </c>
      <c r="AL61" s="113">
        <f t="shared" si="38"/>
        <v>0</v>
      </c>
      <c r="AM61" s="113">
        <f t="shared" si="38"/>
        <v>0</v>
      </c>
      <c r="AN61" s="113">
        <f t="shared" si="38"/>
        <v>0</v>
      </c>
      <c r="AO61" s="113">
        <f t="shared" si="38"/>
        <v>0</v>
      </c>
      <c r="AP61" s="113">
        <f t="shared" si="38"/>
        <v>0</v>
      </c>
      <c r="AQ61" s="114">
        <f t="shared" si="38"/>
        <v>0</v>
      </c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</row>
    <row r="62" spans="2:63" ht="12.75" customHeight="1">
      <c r="B62" s="23"/>
      <c r="C62" s="24" t="s">
        <v>196</v>
      </c>
      <c r="D62" s="113">
        <f t="shared" ref="D62:AQ62" si="39">D59*D$10/12</f>
        <v>0</v>
      </c>
      <c r="E62" s="113">
        <f t="shared" si="39"/>
        <v>0</v>
      </c>
      <c r="F62" s="113">
        <f t="shared" si="39"/>
        <v>0</v>
      </c>
      <c r="G62" s="113">
        <f t="shared" si="39"/>
        <v>0</v>
      </c>
      <c r="H62" s="113">
        <f t="shared" si="39"/>
        <v>0</v>
      </c>
      <c r="I62" s="113">
        <f t="shared" si="39"/>
        <v>0</v>
      </c>
      <c r="J62" s="113">
        <f t="shared" si="39"/>
        <v>0</v>
      </c>
      <c r="K62" s="113">
        <f t="shared" si="39"/>
        <v>0</v>
      </c>
      <c r="L62" s="113">
        <f t="shared" si="39"/>
        <v>0</v>
      </c>
      <c r="M62" s="113">
        <f t="shared" si="39"/>
        <v>0</v>
      </c>
      <c r="N62" s="113">
        <f t="shared" si="39"/>
        <v>0</v>
      </c>
      <c r="O62" s="113">
        <f t="shared" si="39"/>
        <v>0</v>
      </c>
      <c r="P62" s="113">
        <f t="shared" si="39"/>
        <v>0</v>
      </c>
      <c r="Q62" s="113">
        <f t="shared" si="39"/>
        <v>0</v>
      </c>
      <c r="R62" s="113">
        <f t="shared" si="39"/>
        <v>0</v>
      </c>
      <c r="S62" s="113">
        <f t="shared" si="39"/>
        <v>0</v>
      </c>
      <c r="T62" s="113">
        <f t="shared" si="39"/>
        <v>0</v>
      </c>
      <c r="U62" s="113">
        <f t="shared" si="39"/>
        <v>0</v>
      </c>
      <c r="V62" s="113">
        <f t="shared" si="39"/>
        <v>0</v>
      </c>
      <c r="W62" s="113">
        <f t="shared" si="39"/>
        <v>0</v>
      </c>
      <c r="X62" s="113">
        <f t="shared" si="39"/>
        <v>0</v>
      </c>
      <c r="Y62" s="113">
        <f t="shared" si="39"/>
        <v>0</v>
      </c>
      <c r="Z62" s="113">
        <f t="shared" si="39"/>
        <v>0</v>
      </c>
      <c r="AA62" s="113">
        <f t="shared" si="39"/>
        <v>0</v>
      </c>
      <c r="AB62" s="113">
        <f t="shared" si="39"/>
        <v>0</v>
      </c>
      <c r="AC62" s="113">
        <f t="shared" si="39"/>
        <v>0</v>
      </c>
      <c r="AD62" s="113">
        <f t="shared" si="39"/>
        <v>0</v>
      </c>
      <c r="AE62" s="113">
        <f t="shared" si="39"/>
        <v>0</v>
      </c>
      <c r="AF62" s="113">
        <f t="shared" si="39"/>
        <v>0</v>
      </c>
      <c r="AG62" s="113">
        <f t="shared" si="39"/>
        <v>0</v>
      </c>
      <c r="AH62" s="113">
        <f t="shared" si="39"/>
        <v>0</v>
      </c>
      <c r="AI62" s="113">
        <f t="shared" si="39"/>
        <v>0</v>
      </c>
      <c r="AJ62" s="113">
        <f t="shared" si="39"/>
        <v>0</v>
      </c>
      <c r="AK62" s="113">
        <f t="shared" si="39"/>
        <v>0</v>
      </c>
      <c r="AL62" s="113">
        <f t="shared" si="39"/>
        <v>0</v>
      </c>
      <c r="AM62" s="113">
        <f t="shared" si="39"/>
        <v>0</v>
      </c>
      <c r="AN62" s="113">
        <f t="shared" si="39"/>
        <v>0</v>
      </c>
      <c r="AO62" s="113">
        <f t="shared" si="39"/>
        <v>0</v>
      </c>
      <c r="AP62" s="113">
        <f t="shared" si="39"/>
        <v>0</v>
      </c>
      <c r="AQ62" s="114">
        <f t="shared" si="39"/>
        <v>0</v>
      </c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</row>
    <row r="63" spans="2:63" ht="12.75" customHeight="1">
      <c r="B63" s="38"/>
      <c r="C63" s="40" t="s">
        <v>197</v>
      </c>
      <c r="D63" s="115">
        <f t="shared" ref="D63:AQ63" si="40">D59-D61+D62</f>
        <v>0</v>
      </c>
      <c r="E63" s="115">
        <f t="shared" si="40"/>
        <v>0</v>
      </c>
      <c r="F63" s="115">
        <f t="shared" si="40"/>
        <v>0</v>
      </c>
      <c r="G63" s="115">
        <f t="shared" si="40"/>
        <v>0</v>
      </c>
      <c r="H63" s="115">
        <f t="shared" si="40"/>
        <v>0</v>
      </c>
      <c r="I63" s="115">
        <f t="shared" si="40"/>
        <v>0</v>
      </c>
      <c r="J63" s="115">
        <f t="shared" si="40"/>
        <v>0</v>
      </c>
      <c r="K63" s="115">
        <f t="shared" si="40"/>
        <v>0</v>
      </c>
      <c r="L63" s="115">
        <f t="shared" si="40"/>
        <v>0</v>
      </c>
      <c r="M63" s="115">
        <f t="shared" si="40"/>
        <v>0</v>
      </c>
      <c r="N63" s="115">
        <f t="shared" si="40"/>
        <v>0</v>
      </c>
      <c r="O63" s="115">
        <f t="shared" si="40"/>
        <v>0</v>
      </c>
      <c r="P63" s="115">
        <f t="shared" si="40"/>
        <v>0</v>
      </c>
      <c r="Q63" s="115">
        <f t="shared" si="40"/>
        <v>0</v>
      </c>
      <c r="R63" s="115">
        <f t="shared" si="40"/>
        <v>0</v>
      </c>
      <c r="S63" s="115">
        <f t="shared" si="40"/>
        <v>0</v>
      </c>
      <c r="T63" s="115">
        <f t="shared" si="40"/>
        <v>0</v>
      </c>
      <c r="U63" s="115">
        <f t="shared" si="40"/>
        <v>0</v>
      </c>
      <c r="V63" s="115">
        <f t="shared" si="40"/>
        <v>0</v>
      </c>
      <c r="W63" s="115">
        <f t="shared" si="40"/>
        <v>0</v>
      </c>
      <c r="X63" s="115">
        <f t="shared" si="40"/>
        <v>0</v>
      </c>
      <c r="Y63" s="115">
        <f t="shared" si="40"/>
        <v>0</v>
      </c>
      <c r="Z63" s="115">
        <f t="shared" si="40"/>
        <v>0</v>
      </c>
      <c r="AA63" s="115">
        <f t="shared" si="40"/>
        <v>0</v>
      </c>
      <c r="AB63" s="115">
        <f t="shared" si="40"/>
        <v>0</v>
      </c>
      <c r="AC63" s="115">
        <f t="shared" si="40"/>
        <v>0</v>
      </c>
      <c r="AD63" s="115">
        <f t="shared" si="40"/>
        <v>0</v>
      </c>
      <c r="AE63" s="115">
        <f t="shared" si="40"/>
        <v>0</v>
      </c>
      <c r="AF63" s="115">
        <f t="shared" si="40"/>
        <v>0</v>
      </c>
      <c r="AG63" s="115">
        <f t="shared" si="40"/>
        <v>0</v>
      </c>
      <c r="AH63" s="115">
        <f t="shared" si="40"/>
        <v>0</v>
      </c>
      <c r="AI63" s="115">
        <f t="shared" si="40"/>
        <v>0</v>
      </c>
      <c r="AJ63" s="115">
        <f t="shared" si="40"/>
        <v>0</v>
      </c>
      <c r="AK63" s="115">
        <f t="shared" si="40"/>
        <v>0</v>
      </c>
      <c r="AL63" s="115">
        <f t="shared" si="40"/>
        <v>0</v>
      </c>
      <c r="AM63" s="115">
        <f t="shared" si="40"/>
        <v>0</v>
      </c>
      <c r="AN63" s="115">
        <f t="shared" si="40"/>
        <v>0</v>
      </c>
      <c r="AO63" s="115">
        <f t="shared" si="40"/>
        <v>0</v>
      </c>
      <c r="AP63" s="115">
        <f t="shared" si="40"/>
        <v>0</v>
      </c>
      <c r="AQ63" s="116">
        <f t="shared" si="40"/>
        <v>0</v>
      </c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</row>
    <row r="64" spans="2:63" ht="12.75" customHeight="1"/>
    <row r="65" spans="2:43" ht="12.75" customHeight="1"/>
    <row r="66" spans="2:43" ht="12.75" customHeight="1">
      <c r="B66" s="120" t="s">
        <v>16</v>
      </c>
      <c r="C66" s="121" t="str">
        <f t="shared" ref="C66:C68" si="41">C61</f>
        <v>Payment</v>
      </c>
      <c r="D66" s="122">
        <f t="shared" ref="D66:AQ66" si="42">D17+D21+D25</f>
        <v>0</v>
      </c>
      <c r="E66" s="122">
        <f t="shared" si="42"/>
        <v>0</v>
      </c>
      <c r="F66" s="122">
        <f t="shared" si="42"/>
        <v>0</v>
      </c>
      <c r="G66" s="122">
        <f t="shared" si="42"/>
        <v>0</v>
      </c>
      <c r="H66" s="122">
        <f t="shared" si="42"/>
        <v>0</v>
      </c>
      <c r="I66" s="122">
        <f t="shared" si="42"/>
        <v>0</v>
      </c>
      <c r="J66" s="122">
        <f t="shared" si="42"/>
        <v>0</v>
      </c>
      <c r="K66" s="122">
        <f t="shared" si="42"/>
        <v>0</v>
      </c>
      <c r="L66" s="122">
        <f t="shared" si="42"/>
        <v>0</v>
      </c>
      <c r="M66" s="122">
        <f t="shared" si="42"/>
        <v>0</v>
      </c>
      <c r="N66" s="122">
        <f t="shared" si="42"/>
        <v>0</v>
      </c>
      <c r="O66" s="122">
        <f t="shared" si="42"/>
        <v>0</v>
      </c>
      <c r="P66" s="122">
        <f t="shared" si="42"/>
        <v>0</v>
      </c>
      <c r="Q66" s="122">
        <f t="shared" si="42"/>
        <v>0</v>
      </c>
      <c r="R66" s="122">
        <f t="shared" si="42"/>
        <v>0</v>
      </c>
      <c r="S66" s="122">
        <f t="shared" si="42"/>
        <v>0</v>
      </c>
      <c r="T66" s="122">
        <f t="shared" si="42"/>
        <v>0</v>
      </c>
      <c r="U66" s="122">
        <f t="shared" si="42"/>
        <v>0</v>
      </c>
      <c r="V66" s="122">
        <f t="shared" si="42"/>
        <v>0</v>
      </c>
      <c r="W66" s="122">
        <f t="shared" si="42"/>
        <v>0</v>
      </c>
      <c r="X66" s="122">
        <f t="shared" si="42"/>
        <v>0</v>
      </c>
      <c r="Y66" s="122">
        <f t="shared" si="42"/>
        <v>0</v>
      </c>
      <c r="Z66" s="122">
        <f t="shared" si="42"/>
        <v>0</v>
      </c>
      <c r="AA66" s="122">
        <f t="shared" si="42"/>
        <v>0</v>
      </c>
      <c r="AB66" s="122">
        <f t="shared" si="42"/>
        <v>0</v>
      </c>
      <c r="AC66" s="122">
        <f t="shared" si="42"/>
        <v>0</v>
      </c>
      <c r="AD66" s="122">
        <f t="shared" si="42"/>
        <v>0</v>
      </c>
      <c r="AE66" s="122">
        <f t="shared" si="42"/>
        <v>0</v>
      </c>
      <c r="AF66" s="122">
        <f t="shared" si="42"/>
        <v>0</v>
      </c>
      <c r="AG66" s="122">
        <f t="shared" si="42"/>
        <v>0</v>
      </c>
      <c r="AH66" s="122">
        <f t="shared" si="42"/>
        <v>0</v>
      </c>
      <c r="AI66" s="122">
        <f t="shared" si="42"/>
        <v>0</v>
      </c>
      <c r="AJ66" s="122">
        <f t="shared" si="42"/>
        <v>0</v>
      </c>
      <c r="AK66" s="122">
        <f t="shared" si="42"/>
        <v>0</v>
      </c>
      <c r="AL66" s="122">
        <f t="shared" si="42"/>
        <v>0</v>
      </c>
      <c r="AM66" s="122">
        <f t="shared" si="42"/>
        <v>0</v>
      </c>
      <c r="AN66" s="122">
        <f t="shared" si="42"/>
        <v>0</v>
      </c>
      <c r="AO66" s="122">
        <f t="shared" si="42"/>
        <v>0</v>
      </c>
      <c r="AP66" s="122">
        <f t="shared" si="42"/>
        <v>0</v>
      </c>
      <c r="AQ66" s="123">
        <f t="shared" si="42"/>
        <v>0</v>
      </c>
    </row>
    <row r="67" spans="2:43" ht="12.75" customHeight="1">
      <c r="B67" s="124"/>
      <c r="C67" s="125" t="str">
        <f t="shared" si="41"/>
        <v>Interest</v>
      </c>
      <c r="D67" s="126">
        <f t="shared" ref="D67:AQ67" si="43">D18+D22+D26</f>
        <v>0</v>
      </c>
      <c r="E67" s="126">
        <f t="shared" si="43"/>
        <v>0</v>
      </c>
      <c r="F67" s="126">
        <f t="shared" si="43"/>
        <v>0</v>
      </c>
      <c r="G67" s="126">
        <f t="shared" si="43"/>
        <v>0</v>
      </c>
      <c r="H67" s="126">
        <f t="shared" si="43"/>
        <v>0</v>
      </c>
      <c r="I67" s="126">
        <f t="shared" si="43"/>
        <v>0</v>
      </c>
      <c r="J67" s="126">
        <f t="shared" si="43"/>
        <v>0</v>
      </c>
      <c r="K67" s="126">
        <f t="shared" si="43"/>
        <v>0</v>
      </c>
      <c r="L67" s="126">
        <f t="shared" si="43"/>
        <v>0</v>
      </c>
      <c r="M67" s="126">
        <f t="shared" si="43"/>
        <v>0</v>
      </c>
      <c r="N67" s="126">
        <f t="shared" si="43"/>
        <v>0</v>
      </c>
      <c r="O67" s="126">
        <f t="shared" si="43"/>
        <v>0</v>
      </c>
      <c r="P67" s="126">
        <f t="shared" si="43"/>
        <v>0</v>
      </c>
      <c r="Q67" s="126">
        <f t="shared" si="43"/>
        <v>0</v>
      </c>
      <c r="R67" s="126">
        <f t="shared" si="43"/>
        <v>0</v>
      </c>
      <c r="S67" s="126">
        <f t="shared" si="43"/>
        <v>0</v>
      </c>
      <c r="T67" s="126">
        <f t="shared" si="43"/>
        <v>0</v>
      </c>
      <c r="U67" s="126">
        <f t="shared" si="43"/>
        <v>0</v>
      </c>
      <c r="V67" s="126">
        <f t="shared" si="43"/>
        <v>0</v>
      </c>
      <c r="W67" s="126">
        <f t="shared" si="43"/>
        <v>0</v>
      </c>
      <c r="X67" s="126">
        <f t="shared" si="43"/>
        <v>0</v>
      </c>
      <c r="Y67" s="126">
        <f t="shared" si="43"/>
        <v>0</v>
      </c>
      <c r="Z67" s="126">
        <f t="shared" si="43"/>
        <v>0</v>
      </c>
      <c r="AA67" s="126">
        <f t="shared" si="43"/>
        <v>0</v>
      </c>
      <c r="AB67" s="126">
        <f t="shared" si="43"/>
        <v>0</v>
      </c>
      <c r="AC67" s="126">
        <f t="shared" si="43"/>
        <v>0</v>
      </c>
      <c r="AD67" s="126">
        <f t="shared" si="43"/>
        <v>0</v>
      </c>
      <c r="AE67" s="126">
        <f t="shared" si="43"/>
        <v>0</v>
      </c>
      <c r="AF67" s="126">
        <f t="shared" si="43"/>
        <v>0</v>
      </c>
      <c r="AG67" s="126">
        <f t="shared" si="43"/>
        <v>0</v>
      </c>
      <c r="AH67" s="126">
        <f t="shared" si="43"/>
        <v>0</v>
      </c>
      <c r="AI67" s="126">
        <f t="shared" si="43"/>
        <v>0</v>
      </c>
      <c r="AJ67" s="126">
        <f t="shared" si="43"/>
        <v>0</v>
      </c>
      <c r="AK67" s="126">
        <f t="shared" si="43"/>
        <v>0</v>
      </c>
      <c r="AL67" s="126">
        <f t="shared" si="43"/>
        <v>0</v>
      </c>
      <c r="AM67" s="126">
        <f t="shared" si="43"/>
        <v>0</v>
      </c>
      <c r="AN67" s="126">
        <f t="shared" si="43"/>
        <v>0</v>
      </c>
      <c r="AO67" s="126">
        <f t="shared" si="43"/>
        <v>0</v>
      </c>
      <c r="AP67" s="126">
        <f t="shared" si="43"/>
        <v>0</v>
      </c>
      <c r="AQ67" s="127">
        <f t="shared" si="43"/>
        <v>0</v>
      </c>
    </row>
    <row r="68" spans="2:43" ht="12.75" customHeight="1">
      <c r="B68" s="124"/>
      <c r="C68" s="125" t="str">
        <f t="shared" si="41"/>
        <v>Balance</v>
      </c>
      <c r="D68" s="126">
        <f t="shared" ref="D68:AQ68" si="44">D27</f>
        <v>0</v>
      </c>
      <c r="E68" s="126">
        <f t="shared" si="44"/>
        <v>0</v>
      </c>
      <c r="F68" s="126">
        <f t="shared" si="44"/>
        <v>0</v>
      </c>
      <c r="G68" s="126">
        <f t="shared" si="44"/>
        <v>0</v>
      </c>
      <c r="H68" s="126">
        <f t="shared" si="44"/>
        <v>0</v>
      </c>
      <c r="I68" s="126">
        <f t="shared" si="44"/>
        <v>0</v>
      </c>
      <c r="J68" s="126">
        <f t="shared" si="44"/>
        <v>0</v>
      </c>
      <c r="K68" s="126">
        <f t="shared" si="44"/>
        <v>0</v>
      </c>
      <c r="L68" s="126">
        <f t="shared" si="44"/>
        <v>0</v>
      </c>
      <c r="M68" s="126">
        <f t="shared" si="44"/>
        <v>0</v>
      </c>
      <c r="N68" s="126">
        <f t="shared" si="44"/>
        <v>0</v>
      </c>
      <c r="O68" s="126">
        <f t="shared" si="44"/>
        <v>0</v>
      </c>
      <c r="P68" s="126">
        <f t="shared" si="44"/>
        <v>0</v>
      </c>
      <c r="Q68" s="126">
        <f t="shared" si="44"/>
        <v>0</v>
      </c>
      <c r="R68" s="126">
        <f t="shared" si="44"/>
        <v>0</v>
      </c>
      <c r="S68" s="126">
        <f t="shared" si="44"/>
        <v>0</v>
      </c>
      <c r="T68" s="126">
        <f t="shared" si="44"/>
        <v>0</v>
      </c>
      <c r="U68" s="126">
        <f t="shared" si="44"/>
        <v>0</v>
      </c>
      <c r="V68" s="126">
        <f t="shared" si="44"/>
        <v>0</v>
      </c>
      <c r="W68" s="126">
        <f t="shared" si="44"/>
        <v>0</v>
      </c>
      <c r="X68" s="126">
        <f t="shared" si="44"/>
        <v>0</v>
      </c>
      <c r="Y68" s="126">
        <f t="shared" si="44"/>
        <v>0</v>
      </c>
      <c r="Z68" s="126">
        <f t="shared" si="44"/>
        <v>0</v>
      </c>
      <c r="AA68" s="126">
        <f t="shared" si="44"/>
        <v>0</v>
      </c>
      <c r="AB68" s="126">
        <f t="shared" si="44"/>
        <v>0</v>
      </c>
      <c r="AC68" s="126">
        <f t="shared" si="44"/>
        <v>0</v>
      </c>
      <c r="AD68" s="126">
        <f t="shared" si="44"/>
        <v>0</v>
      </c>
      <c r="AE68" s="126">
        <f t="shared" si="44"/>
        <v>0</v>
      </c>
      <c r="AF68" s="126">
        <f t="shared" si="44"/>
        <v>0</v>
      </c>
      <c r="AG68" s="126">
        <f t="shared" si="44"/>
        <v>0</v>
      </c>
      <c r="AH68" s="126">
        <f t="shared" si="44"/>
        <v>0</v>
      </c>
      <c r="AI68" s="126">
        <f t="shared" si="44"/>
        <v>0</v>
      </c>
      <c r="AJ68" s="126">
        <f t="shared" si="44"/>
        <v>0</v>
      </c>
      <c r="AK68" s="126">
        <f t="shared" si="44"/>
        <v>0</v>
      </c>
      <c r="AL68" s="126">
        <f t="shared" si="44"/>
        <v>0</v>
      </c>
      <c r="AM68" s="126">
        <f t="shared" si="44"/>
        <v>0</v>
      </c>
      <c r="AN68" s="126">
        <f t="shared" si="44"/>
        <v>0</v>
      </c>
      <c r="AO68" s="126">
        <f t="shared" si="44"/>
        <v>0</v>
      </c>
      <c r="AP68" s="126">
        <f t="shared" si="44"/>
        <v>0</v>
      </c>
      <c r="AQ68" s="127">
        <f t="shared" si="44"/>
        <v>0</v>
      </c>
    </row>
    <row r="69" spans="2:43" ht="12.75" customHeight="1">
      <c r="B69" s="124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8"/>
    </row>
    <row r="70" spans="2:43" ht="12.75" customHeight="1">
      <c r="B70" s="124" t="s">
        <v>17</v>
      </c>
      <c r="C70" s="125" t="str">
        <f t="shared" ref="C70:C72" si="45">C66</f>
        <v>Payment</v>
      </c>
      <c r="D70" s="126">
        <f t="shared" ref="D70:AQ70" si="46">D29+D33+D37</f>
        <v>0</v>
      </c>
      <c r="E70" s="126">
        <f t="shared" si="46"/>
        <v>0</v>
      </c>
      <c r="F70" s="126">
        <f t="shared" si="46"/>
        <v>0</v>
      </c>
      <c r="G70" s="126">
        <f t="shared" si="46"/>
        <v>0</v>
      </c>
      <c r="H70" s="126">
        <f t="shared" si="46"/>
        <v>0</v>
      </c>
      <c r="I70" s="126">
        <f t="shared" si="46"/>
        <v>0</v>
      </c>
      <c r="J70" s="126">
        <f t="shared" si="46"/>
        <v>0</v>
      </c>
      <c r="K70" s="126">
        <f t="shared" si="46"/>
        <v>0</v>
      </c>
      <c r="L70" s="126">
        <f t="shared" si="46"/>
        <v>0</v>
      </c>
      <c r="M70" s="126">
        <f t="shared" si="46"/>
        <v>0</v>
      </c>
      <c r="N70" s="126">
        <f t="shared" si="46"/>
        <v>0</v>
      </c>
      <c r="O70" s="126">
        <f t="shared" si="46"/>
        <v>0</v>
      </c>
      <c r="P70" s="126">
        <f t="shared" si="46"/>
        <v>0</v>
      </c>
      <c r="Q70" s="126">
        <f t="shared" si="46"/>
        <v>0</v>
      </c>
      <c r="R70" s="126">
        <f t="shared" si="46"/>
        <v>0</v>
      </c>
      <c r="S70" s="126">
        <f t="shared" si="46"/>
        <v>0</v>
      </c>
      <c r="T70" s="126">
        <f t="shared" si="46"/>
        <v>0</v>
      </c>
      <c r="U70" s="126">
        <f t="shared" si="46"/>
        <v>0</v>
      </c>
      <c r="V70" s="126">
        <f t="shared" si="46"/>
        <v>0</v>
      </c>
      <c r="W70" s="126">
        <f t="shared" si="46"/>
        <v>0</v>
      </c>
      <c r="X70" s="126">
        <f t="shared" si="46"/>
        <v>0</v>
      </c>
      <c r="Y70" s="126">
        <f t="shared" si="46"/>
        <v>0</v>
      </c>
      <c r="Z70" s="126">
        <f t="shared" si="46"/>
        <v>0</v>
      </c>
      <c r="AA70" s="126">
        <f t="shared" si="46"/>
        <v>0</v>
      </c>
      <c r="AB70" s="126">
        <f t="shared" si="46"/>
        <v>0</v>
      </c>
      <c r="AC70" s="126">
        <f t="shared" si="46"/>
        <v>0</v>
      </c>
      <c r="AD70" s="126">
        <f t="shared" si="46"/>
        <v>0</v>
      </c>
      <c r="AE70" s="126">
        <f t="shared" si="46"/>
        <v>0</v>
      </c>
      <c r="AF70" s="126">
        <f t="shared" si="46"/>
        <v>0</v>
      </c>
      <c r="AG70" s="126">
        <f t="shared" si="46"/>
        <v>0</v>
      </c>
      <c r="AH70" s="126">
        <f t="shared" si="46"/>
        <v>0</v>
      </c>
      <c r="AI70" s="126">
        <f t="shared" si="46"/>
        <v>0</v>
      </c>
      <c r="AJ70" s="126">
        <f t="shared" si="46"/>
        <v>0</v>
      </c>
      <c r="AK70" s="126">
        <f t="shared" si="46"/>
        <v>0</v>
      </c>
      <c r="AL70" s="126">
        <f t="shared" si="46"/>
        <v>0</v>
      </c>
      <c r="AM70" s="126">
        <f t="shared" si="46"/>
        <v>0</v>
      </c>
      <c r="AN70" s="126">
        <f t="shared" si="46"/>
        <v>0</v>
      </c>
      <c r="AO70" s="126">
        <f t="shared" si="46"/>
        <v>0</v>
      </c>
      <c r="AP70" s="126">
        <f t="shared" si="46"/>
        <v>0</v>
      </c>
      <c r="AQ70" s="127">
        <f t="shared" si="46"/>
        <v>0</v>
      </c>
    </row>
    <row r="71" spans="2:43" ht="12.75" customHeight="1">
      <c r="B71" s="124"/>
      <c r="C71" s="125" t="str">
        <f t="shared" si="45"/>
        <v>Interest</v>
      </c>
      <c r="D71" s="126">
        <f t="shared" ref="D71:AQ71" si="47">D30+D34+D38</f>
        <v>0</v>
      </c>
      <c r="E71" s="126">
        <f t="shared" si="47"/>
        <v>0</v>
      </c>
      <c r="F71" s="126">
        <f t="shared" si="47"/>
        <v>0</v>
      </c>
      <c r="G71" s="126">
        <f t="shared" si="47"/>
        <v>0</v>
      </c>
      <c r="H71" s="126">
        <f t="shared" si="47"/>
        <v>0</v>
      </c>
      <c r="I71" s="126">
        <f t="shared" si="47"/>
        <v>0</v>
      </c>
      <c r="J71" s="126">
        <f t="shared" si="47"/>
        <v>0</v>
      </c>
      <c r="K71" s="126">
        <f t="shared" si="47"/>
        <v>0</v>
      </c>
      <c r="L71" s="126">
        <f t="shared" si="47"/>
        <v>0</v>
      </c>
      <c r="M71" s="126">
        <f t="shared" si="47"/>
        <v>0</v>
      </c>
      <c r="N71" s="126">
        <f t="shared" si="47"/>
        <v>0</v>
      </c>
      <c r="O71" s="126">
        <f t="shared" si="47"/>
        <v>0</v>
      </c>
      <c r="P71" s="126">
        <f t="shared" si="47"/>
        <v>0</v>
      </c>
      <c r="Q71" s="126">
        <f t="shared" si="47"/>
        <v>0</v>
      </c>
      <c r="R71" s="126">
        <f t="shared" si="47"/>
        <v>0</v>
      </c>
      <c r="S71" s="126">
        <f t="shared" si="47"/>
        <v>0</v>
      </c>
      <c r="T71" s="126">
        <f t="shared" si="47"/>
        <v>0</v>
      </c>
      <c r="U71" s="126">
        <f t="shared" si="47"/>
        <v>0</v>
      </c>
      <c r="V71" s="126">
        <f t="shared" si="47"/>
        <v>0</v>
      </c>
      <c r="W71" s="126">
        <f t="shared" si="47"/>
        <v>0</v>
      </c>
      <c r="X71" s="126">
        <f t="shared" si="47"/>
        <v>0</v>
      </c>
      <c r="Y71" s="126">
        <f t="shared" si="47"/>
        <v>0</v>
      </c>
      <c r="Z71" s="126">
        <f t="shared" si="47"/>
        <v>0</v>
      </c>
      <c r="AA71" s="126">
        <f t="shared" si="47"/>
        <v>0</v>
      </c>
      <c r="AB71" s="126">
        <f t="shared" si="47"/>
        <v>0</v>
      </c>
      <c r="AC71" s="126">
        <f t="shared" si="47"/>
        <v>0</v>
      </c>
      <c r="AD71" s="126">
        <f t="shared" si="47"/>
        <v>0</v>
      </c>
      <c r="AE71" s="126">
        <f t="shared" si="47"/>
        <v>0</v>
      </c>
      <c r="AF71" s="126">
        <f t="shared" si="47"/>
        <v>0</v>
      </c>
      <c r="AG71" s="126">
        <f t="shared" si="47"/>
        <v>0</v>
      </c>
      <c r="AH71" s="126">
        <f t="shared" si="47"/>
        <v>0</v>
      </c>
      <c r="AI71" s="126">
        <f t="shared" si="47"/>
        <v>0</v>
      </c>
      <c r="AJ71" s="126">
        <f t="shared" si="47"/>
        <v>0</v>
      </c>
      <c r="AK71" s="126">
        <f t="shared" si="47"/>
        <v>0</v>
      </c>
      <c r="AL71" s="126">
        <f t="shared" si="47"/>
        <v>0</v>
      </c>
      <c r="AM71" s="126">
        <f t="shared" si="47"/>
        <v>0</v>
      </c>
      <c r="AN71" s="126">
        <f t="shared" si="47"/>
        <v>0</v>
      </c>
      <c r="AO71" s="126">
        <f t="shared" si="47"/>
        <v>0</v>
      </c>
      <c r="AP71" s="126">
        <f t="shared" si="47"/>
        <v>0</v>
      </c>
      <c r="AQ71" s="127">
        <f t="shared" si="47"/>
        <v>0</v>
      </c>
    </row>
    <row r="72" spans="2:43" ht="12.75" customHeight="1">
      <c r="B72" s="124"/>
      <c r="C72" s="125" t="str">
        <f t="shared" si="45"/>
        <v>Balance</v>
      </c>
      <c r="D72" s="126">
        <f t="shared" ref="D72:AQ72" si="48">D39</f>
        <v>0</v>
      </c>
      <c r="E72" s="126">
        <f t="shared" si="48"/>
        <v>0</v>
      </c>
      <c r="F72" s="126">
        <f t="shared" si="48"/>
        <v>0</v>
      </c>
      <c r="G72" s="126">
        <f t="shared" si="48"/>
        <v>0</v>
      </c>
      <c r="H72" s="126">
        <f t="shared" si="48"/>
        <v>0</v>
      </c>
      <c r="I72" s="126">
        <f t="shared" si="48"/>
        <v>0</v>
      </c>
      <c r="J72" s="126">
        <f t="shared" si="48"/>
        <v>0</v>
      </c>
      <c r="K72" s="126">
        <f t="shared" si="48"/>
        <v>0</v>
      </c>
      <c r="L72" s="126">
        <f t="shared" si="48"/>
        <v>0</v>
      </c>
      <c r="M72" s="126">
        <f t="shared" si="48"/>
        <v>0</v>
      </c>
      <c r="N72" s="126">
        <f t="shared" si="48"/>
        <v>0</v>
      </c>
      <c r="O72" s="126">
        <f t="shared" si="48"/>
        <v>0</v>
      </c>
      <c r="P72" s="126">
        <f t="shared" si="48"/>
        <v>0</v>
      </c>
      <c r="Q72" s="126">
        <f t="shared" si="48"/>
        <v>0</v>
      </c>
      <c r="R72" s="126">
        <f t="shared" si="48"/>
        <v>0</v>
      </c>
      <c r="S72" s="126">
        <f t="shared" si="48"/>
        <v>0</v>
      </c>
      <c r="T72" s="126">
        <f t="shared" si="48"/>
        <v>0</v>
      </c>
      <c r="U72" s="126">
        <f t="shared" si="48"/>
        <v>0</v>
      </c>
      <c r="V72" s="126">
        <f t="shared" si="48"/>
        <v>0</v>
      </c>
      <c r="W72" s="126">
        <f t="shared" si="48"/>
        <v>0</v>
      </c>
      <c r="X72" s="126">
        <f t="shared" si="48"/>
        <v>0</v>
      </c>
      <c r="Y72" s="126">
        <f t="shared" si="48"/>
        <v>0</v>
      </c>
      <c r="Z72" s="126">
        <f t="shared" si="48"/>
        <v>0</v>
      </c>
      <c r="AA72" s="126">
        <f t="shared" si="48"/>
        <v>0</v>
      </c>
      <c r="AB72" s="126">
        <f t="shared" si="48"/>
        <v>0</v>
      </c>
      <c r="AC72" s="126">
        <f t="shared" si="48"/>
        <v>0</v>
      </c>
      <c r="AD72" s="126">
        <f t="shared" si="48"/>
        <v>0</v>
      </c>
      <c r="AE72" s="126">
        <f t="shared" si="48"/>
        <v>0</v>
      </c>
      <c r="AF72" s="126">
        <f t="shared" si="48"/>
        <v>0</v>
      </c>
      <c r="AG72" s="126">
        <f t="shared" si="48"/>
        <v>0</v>
      </c>
      <c r="AH72" s="126">
        <f t="shared" si="48"/>
        <v>0</v>
      </c>
      <c r="AI72" s="126">
        <f t="shared" si="48"/>
        <v>0</v>
      </c>
      <c r="AJ72" s="126">
        <f t="shared" si="48"/>
        <v>0</v>
      </c>
      <c r="AK72" s="126">
        <f t="shared" si="48"/>
        <v>0</v>
      </c>
      <c r="AL72" s="126">
        <f t="shared" si="48"/>
        <v>0</v>
      </c>
      <c r="AM72" s="126">
        <f t="shared" si="48"/>
        <v>0</v>
      </c>
      <c r="AN72" s="126">
        <f t="shared" si="48"/>
        <v>0</v>
      </c>
      <c r="AO72" s="126">
        <f t="shared" si="48"/>
        <v>0</v>
      </c>
      <c r="AP72" s="126">
        <f t="shared" si="48"/>
        <v>0</v>
      </c>
      <c r="AQ72" s="127">
        <f t="shared" si="48"/>
        <v>0</v>
      </c>
    </row>
    <row r="73" spans="2:43" ht="12.75" customHeight="1">
      <c r="B73" s="124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8"/>
    </row>
    <row r="74" spans="2:43" ht="12.75" customHeight="1">
      <c r="B74" s="124" t="s">
        <v>18</v>
      </c>
      <c r="C74" s="125" t="str">
        <f t="shared" ref="C74:C76" si="49">C70</f>
        <v>Payment</v>
      </c>
      <c r="D74" s="126">
        <f t="shared" ref="D74:AQ74" si="50">D41+D45+D49</f>
        <v>0</v>
      </c>
      <c r="E74" s="126">
        <f t="shared" si="50"/>
        <v>0</v>
      </c>
      <c r="F74" s="126">
        <f t="shared" si="50"/>
        <v>0</v>
      </c>
      <c r="G74" s="126">
        <f t="shared" si="50"/>
        <v>0</v>
      </c>
      <c r="H74" s="126">
        <f t="shared" si="50"/>
        <v>0</v>
      </c>
      <c r="I74" s="126">
        <f t="shared" si="50"/>
        <v>0</v>
      </c>
      <c r="J74" s="126">
        <f t="shared" si="50"/>
        <v>0</v>
      </c>
      <c r="K74" s="126">
        <f t="shared" si="50"/>
        <v>0</v>
      </c>
      <c r="L74" s="126">
        <f t="shared" si="50"/>
        <v>0</v>
      </c>
      <c r="M74" s="126">
        <f t="shared" si="50"/>
        <v>0</v>
      </c>
      <c r="N74" s="126">
        <f t="shared" si="50"/>
        <v>0</v>
      </c>
      <c r="O74" s="126">
        <f t="shared" si="50"/>
        <v>0</v>
      </c>
      <c r="P74" s="126">
        <f t="shared" si="50"/>
        <v>0</v>
      </c>
      <c r="Q74" s="126">
        <f t="shared" si="50"/>
        <v>0</v>
      </c>
      <c r="R74" s="126">
        <f t="shared" si="50"/>
        <v>0</v>
      </c>
      <c r="S74" s="126">
        <f t="shared" si="50"/>
        <v>0</v>
      </c>
      <c r="T74" s="126">
        <f t="shared" si="50"/>
        <v>0</v>
      </c>
      <c r="U74" s="126">
        <f t="shared" si="50"/>
        <v>0</v>
      </c>
      <c r="V74" s="126">
        <f t="shared" si="50"/>
        <v>0</v>
      </c>
      <c r="W74" s="126">
        <f t="shared" si="50"/>
        <v>0</v>
      </c>
      <c r="X74" s="126">
        <f t="shared" si="50"/>
        <v>0</v>
      </c>
      <c r="Y74" s="126">
        <f t="shared" si="50"/>
        <v>0</v>
      </c>
      <c r="Z74" s="126">
        <f t="shared" si="50"/>
        <v>0</v>
      </c>
      <c r="AA74" s="126">
        <f t="shared" si="50"/>
        <v>0</v>
      </c>
      <c r="AB74" s="126">
        <f t="shared" si="50"/>
        <v>0</v>
      </c>
      <c r="AC74" s="126">
        <f t="shared" si="50"/>
        <v>0</v>
      </c>
      <c r="AD74" s="126">
        <f t="shared" si="50"/>
        <v>0</v>
      </c>
      <c r="AE74" s="126">
        <f t="shared" si="50"/>
        <v>0</v>
      </c>
      <c r="AF74" s="126">
        <f t="shared" si="50"/>
        <v>0</v>
      </c>
      <c r="AG74" s="126">
        <f t="shared" si="50"/>
        <v>0</v>
      </c>
      <c r="AH74" s="126">
        <f t="shared" si="50"/>
        <v>0</v>
      </c>
      <c r="AI74" s="126">
        <f t="shared" si="50"/>
        <v>0</v>
      </c>
      <c r="AJ74" s="126">
        <f t="shared" si="50"/>
        <v>0</v>
      </c>
      <c r="AK74" s="126">
        <f t="shared" si="50"/>
        <v>0</v>
      </c>
      <c r="AL74" s="126">
        <f t="shared" si="50"/>
        <v>0</v>
      </c>
      <c r="AM74" s="126">
        <f t="shared" si="50"/>
        <v>0</v>
      </c>
      <c r="AN74" s="126">
        <f t="shared" si="50"/>
        <v>0</v>
      </c>
      <c r="AO74" s="126">
        <f t="shared" si="50"/>
        <v>0</v>
      </c>
      <c r="AP74" s="126">
        <f t="shared" si="50"/>
        <v>0</v>
      </c>
      <c r="AQ74" s="127">
        <f t="shared" si="50"/>
        <v>0</v>
      </c>
    </row>
    <row r="75" spans="2:43" ht="12.75" customHeight="1">
      <c r="B75" s="124"/>
      <c r="C75" s="125" t="str">
        <f t="shared" si="49"/>
        <v>Interest</v>
      </c>
      <c r="D75" s="126">
        <f t="shared" ref="D75:AQ75" si="51">D42+D46+D50</f>
        <v>0</v>
      </c>
      <c r="E75" s="126">
        <f t="shared" si="51"/>
        <v>0</v>
      </c>
      <c r="F75" s="126">
        <f t="shared" si="51"/>
        <v>0</v>
      </c>
      <c r="G75" s="126">
        <f t="shared" si="51"/>
        <v>0</v>
      </c>
      <c r="H75" s="126">
        <f t="shared" si="51"/>
        <v>0</v>
      </c>
      <c r="I75" s="126">
        <f t="shared" si="51"/>
        <v>0</v>
      </c>
      <c r="J75" s="126">
        <f t="shared" si="51"/>
        <v>0</v>
      </c>
      <c r="K75" s="126">
        <f t="shared" si="51"/>
        <v>0</v>
      </c>
      <c r="L75" s="126">
        <f t="shared" si="51"/>
        <v>0</v>
      </c>
      <c r="M75" s="126">
        <f t="shared" si="51"/>
        <v>0</v>
      </c>
      <c r="N75" s="126">
        <f t="shared" si="51"/>
        <v>0</v>
      </c>
      <c r="O75" s="126">
        <f t="shared" si="51"/>
        <v>0</v>
      </c>
      <c r="P75" s="126">
        <f t="shared" si="51"/>
        <v>0</v>
      </c>
      <c r="Q75" s="126">
        <f t="shared" si="51"/>
        <v>0</v>
      </c>
      <c r="R75" s="126">
        <f t="shared" si="51"/>
        <v>0</v>
      </c>
      <c r="S75" s="126">
        <f t="shared" si="51"/>
        <v>0</v>
      </c>
      <c r="T75" s="126">
        <f t="shared" si="51"/>
        <v>0</v>
      </c>
      <c r="U75" s="126">
        <f t="shared" si="51"/>
        <v>0</v>
      </c>
      <c r="V75" s="126">
        <f t="shared" si="51"/>
        <v>0</v>
      </c>
      <c r="W75" s="126">
        <f t="shared" si="51"/>
        <v>0</v>
      </c>
      <c r="X75" s="126">
        <f t="shared" si="51"/>
        <v>0</v>
      </c>
      <c r="Y75" s="126">
        <f t="shared" si="51"/>
        <v>0</v>
      </c>
      <c r="Z75" s="126">
        <f t="shared" si="51"/>
        <v>0</v>
      </c>
      <c r="AA75" s="126">
        <f t="shared" si="51"/>
        <v>0</v>
      </c>
      <c r="AB75" s="126">
        <f t="shared" si="51"/>
        <v>0</v>
      </c>
      <c r="AC75" s="126">
        <f t="shared" si="51"/>
        <v>0</v>
      </c>
      <c r="AD75" s="126">
        <f t="shared" si="51"/>
        <v>0</v>
      </c>
      <c r="AE75" s="126">
        <f t="shared" si="51"/>
        <v>0</v>
      </c>
      <c r="AF75" s="126">
        <f t="shared" si="51"/>
        <v>0</v>
      </c>
      <c r="AG75" s="126">
        <f t="shared" si="51"/>
        <v>0</v>
      </c>
      <c r="AH75" s="126">
        <f t="shared" si="51"/>
        <v>0</v>
      </c>
      <c r="AI75" s="126">
        <f t="shared" si="51"/>
        <v>0</v>
      </c>
      <c r="AJ75" s="126">
        <f t="shared" si="51"/>
        <v>0</v>
      </c>
      <c r="AK75" s="126">
        <f t="shared" si="51"/>
        <v>0</v>
      </c>
      <c r="AL75" s="126">
        <f t="shared" si="51"/>
        <v>0</v>
      </c>
      <c r="AM75" s="126">
        <f t="shared" si="51"/>
        <v>0</v>
      </c>
      <c r="AN75" s="126">
        <f t="shared" si="51"/>
        <v>0</v>
      </c>
      <c r="AO75" s="126">
        <f t="shared" si="51"/>
        <v>0</v>
      </c>
      <c r="AP75" s="126">
        <f t="shared" si="51"/>
        <v>0</v>
      </c>
      <c r="AQ75" s="127">
        <f t="shared" si="51"/>
        <v>0</v>
      </c>
    </row>
    <row r="76" spans="2:43" ht="12.75" customHeight="1">
      <c r="B76" s="124"/>
      <c r="C76" s="125" t="str">
        <f t="shared" si="49"/>
        <v>Balance</v>
      </c>
      <c r="D76" s="126">
        <f t="shared" ref="D76:AQ76" si="52">D51</f>
        <v>0</v>
      </c>
      <c r="E76" s="126">
        <f t="shared" si="52"/>
        <v>0</v>
      </c>
      <c r="F76" s="126">
        <f t="shared" si="52"/>
        <v>0</v>
      </c>
      <c r="G76" s="126">
        <f t="shared" si="52"/>
        <v>0</v>
      </c>
      <c r="H76" s="126">
        <f t="shared" si="52"/>
        <v>0</v>
      </c>
      <c r="I76" s="126">
        <f t="shared" si="52"/>
        <v>0</v>
      </c>
      <c r="J76" s="126">
        <f t="shared" si="52"/>
        <v>0</v>
      </c>
      <c r="K76" s="126">
        <f t="shared" si="52"/>
        <v>0</v>
      </c>
      <c r="L76" s="126">
        <f t="shared" si="52"/>
        <v>0</v>
      </c>
      <c r="M76" s="126">
        <f t="shared" si="52"/>
        <v>0</v>
      </c>
      <c r="N76" s="126">
        <f t="shared" si="52"/>
        <v>0</v>
      </c>
      <c r="O76" s="126">
        <f t="shared" si="52"/>
        <v>0</v>
      </c>
      <c r="P76" s="126">
        <f t="shared" si="52"/>
        <v>0</v>
      </c>
      <c r="Q76" s="126">
        <f t="shared" si="52"/>
        <v>0</v>
      </c>
      <c r="R76" s="126">
        <f t="shared" si="52"/>
        <v>0</v>
      </c>
      <c r="S76" s="126">
        <f t="shared" si="52"/>
        <v>0</v>
      </c>
      <c r="T76" s="126">
        <f t="shared" si="52"/>
        <v>0</v>
      </c>
      <c r="U76" s="126">
        <f t="shared" si="52"/>
        <v>0</v>
      </c>
      <c r="V76" s="126">
        <f t="shared" si="52"/>
        <v>0</v>
      </c>
      <c r="W76" s="126">
        <f t="shared" si="52"/>
        <v>0</v>
      </c>
      <c r="X76" s="126">
        <f t="shared" si="52"/>
        <v>0</v>
      </c>
      <c r="Y76" s="126">
        <f t="shared" si="52"/>
        <v>0</v>
      </c>
      <c r="Z76" s="126">
        <f t="shared" si="52"/>
        <v>0</v>
      </c>
      <c r="AA76" s="126">
        <f t="shared" si="52"/>
        <v>0</v>
      </c>
      <c r="AB76" s="126">
        <f t="shared" si="52"/>
        <v>0</v>
      </c>
      <c r="AC76" s="126">
        <f t="shared" si="52"/>
        <v>0</v>
      </c>
      <c r="AD76" s="126">
        <f t="shared" si="52"/>
        <v>0</v>
      </c>
      <c r="AE76" s="126">
        <f t="shared" si="52"/>
        <v>0</v>
      </c>
      <c r="AF76" s="126">
        <f t="shared" si="52"/>
        <v>0</v>
      </c>
      <c r="AG76" s="126">
        <f t="shared" si="52"/>
        <v>0</v>
      </c>
      <c r="AH76" s="126">
        <f t="shared" si="52"/>
        <v>0</v>
      </c>
      <c r="AI76" s="126">
        <f t="shared" si="52"/>
        <v>0</v>
      </c>
      <c r="AJ76" s="126">
        <f t="shared" si="52"/>
        <v>0</v>
      </c>
      <c r="AK76" s="126">
        <f t="shared" si="52"/>
        <v>0</v>
      </c>
      <c r="AL76" s="126">
        <f t="shared" si="52"/>
        <v>0</v>
      </c>
      <c r="AM76" s="126">
        <f t="shared" si="52"/>
        <v>0</v>
      </c>
      <c r="AN76" s="126">
        <f t="shared" si="52"/>
        <v>0</v>
      </c>
      <c r="AO76" s="126">
        <f t="shared" si="52"/>
        <v>0</v>
      </c>
      <c r="AP76" s="126">
        <f t="shared" si="52"/>
        <v>0</v>
      </c>
      <c r="AQ76" s="127">
        <f t="shared" si="52"/>
        <v>0</v>
      </c>
    </row>
    <row r="77" spans="2:43" ht="12.75" customHeight="1">
      <c r="B77" s="124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8"/>
    </row>
    <row r="78" spans="2:43" ht="12.75" customHeight="1">
      <c r="B78" s="124" t="s">
        <v>19</v>
      </c>
      <c r="C78" s="125" t="str">
        <f t="shared" ref="C78:C80" si="53">C74</f>
        <v>Payment</v>
      </c>
      <c r="D78" s="126">
        <f t="shared" ref="D78:AQ78" si="54">D53+D57+D61</f>
        <v>0</v>
      </c>
      <c r="E78" s="126">
        <f t="shared" si="54"/>
        <v>0</v>
      </c>
      <c r="F78" s="126">
        <f t="shared" si="54"/>
        <v>0</v>
      </c>
      <c r="G78" s="126">
        <f t="shared" si="54"/>
        <v>0</v>
      </c>
      <c r="H78" s="126">
        <f t="shared" si="54"/>
        <v>0</v>
      </c>
      <c r="I78" s="126">
        <f t="shared" si="54"/>
        <v>0</v>
      </c>
      <c r="J78" s="126">
        <f t="shared" si="54"/>
        <v>0</v>
      </c>
      <c r="K78" s="126">
        <f t="shared" si="54"/>
        <v>0</v>
      </c>
      <c r="L78" s="126">
        <f t="shared" si="54"/>
        <v>0</v>
      </c>
      <c r="M78" s="126">
        <f t="shared" si="54"/>
        <v>0</v>
      </c>
      <c r="N78" s="126">
        <f t="shared" si="54"/>
        <v>0</v>
      </c>
      <c r="O78" s="126">
        <f t="shared" si="54"/>
        <v>0</v>
      </c>
      <c r="P78" s="126">
        <f t="shared" si="54"/>
        <v>0</v>
      </c>
      <c r="Q78" s="126">
        <f t="shared" si="54"/>
        <v>0</v>
      </c>
      <c r="R78" s="126">
        <f t="shared" si="54"/>
        <v>0</v>
      </c>
      <c r="S78" s="126">
        <f t="shared" si="54"/>
        <v>0</v>
      </c>
      <c r="T78" s="126">
        <f t="shared" si="54"/>
        <v>0</v>
      </c>
      <c r="U78" s="126">
        <f t="shared" si="54"/>
        <v>0</v>
      </c>
      <c r="V78" s="126">
        <f t="shared" si="54"/>
        <v>0</v>
      </c>
      <c r="W78" s="126">
        <f t="shared" si="54"/>
        <v>0</v>
      </c>
      <c r="X78" s="126">
        <f t="shared" si="54"/>
        <v>0</v>
      </c>
      <c r="Y78" s="126">
        <f t="shared" si="54"/>
        <v>0</v>
      </c>
      <c r="Z78" s="126">
        <f t="shared" si="54"/>
        <v>0</v>
      </c>
      <c r="AA78" s="126">
        <f t="shared" si="54"/>
        <v>0</v>
      </c>
      <c r="AB78" s="126">
        <f t="shared" si="54"/>
        <v>0</v>
      </c>
      <c r="AC78" s="126">
        <f t="shared" si="54"/>
        <v>0</v>
      </c>
      <c r="AD78" s="126">
        <f t="shared" si="54"/>
        <v>0</v>
      </c>
      <c r="AE78" s="126">
        <f t="shared" si="54"/>
        <v>0</v>
      </c>
      <c r="AF78" s="126">
        <f t="shared" si="54"/>
        <v>0</v>
      </c>
      <c r="AG78" s="126">
        <f t="shared" si="54"/>
        <v>0</v>
      </c>
      <c r="AH78" s="126">
        <f t="shared" si="54"/>
        <v>0</v>
      </c>
      <c r="AI78" s="126">
        <f t="shared" si="54"/>
        <v>0</v>
      </c>
      <c r="AJ78" s="126">
        <f t="shared" si="54"/>
        <v>0</v>
      </c>
      <c r="AK78" s="126">
        <f t="shared" si="54"/>
        <v>0</v>
      </c>
      <c r="AL78" s="126">
        <f t="shared" si="54"/>
        <v>0</v>
      </c>
      <c r="AM78" s="126">
        <f t="shared" si="54"/>
        <v>0</v>
      </c>
      <c r="AN78" s="126">
        <f t="shared" si="54"/>
        <v>0</v>
      </c>
      <c r="AO78" s="126">
        <f t="shared" si="54"/>
        <v>0</v>
      </c>
      <c r="AP78" s="126">
        <f t="shared" si="54"/>
        <v>0</v>
      </c>
      <c r="AQ78" s="127">
        <f t="shared" si="54"/>
        <v>0</v>
      </c>
    </row>
    <row r="79" spans="2:43" ht="12.75" customHeight="1">
      <c r="B79" s="124"/>
      <c r="C79" s="125" t="str">
        <f t="shared" si="53"/>
        <v>Interest</v>
      </c>
      <c r="D79" s="126">
        <f t="shared" ref="D79:AQ79" si="55">D54+D58+D62</f>
        <v>0</v>
      </c>
      <c r="E79" s="126">
        <f t="shared" si="55"/>
        <v>0</v>
      </c>
      <c r="F79" s="126">
        <f t="shared" si="55"/>
        <v>0</v>
      </c>
      <c r="G79" s="126">
        <f t="shared" si="55"/>
        <v>0</v>
      </c>
      <c r="H79" s="126">
        <f t="shared" si="55"/>
        <v>0</v>
      </c>
      <c r="I79" s="126">
        <f t="shared" si="55"/>
        <v>0</v>
      </c>
      <c r="J79" s="126">
        <f t="shared" si="55"/>
        <v>0</v>
      </c>
      <c r="K79" s="126">
        <f t="shared" si="55"/>
        <v>0</v>
      </c>
      <c r="L79" s="126">
        <f t="shared" si="55"/>
        <v>0</v>
      </c>
      <c r="M79" s="126">
        <f t="shared" si="55"/>
        <v>0</v>
      </c>
      <c r="N79" s="126">
        <f t="shared" si="55"/>
        <v>0</v>
      </c>
      <c r="O79" s="126">
        <f t="shared" si="55"/>
        <v>0</v>
      </c>
      <c r="P79" s="126">
        <f t="shared" si="55"/>
        <v>0</v>
      </c>
      <c r="Q79" s="126">
        <f t="shared" si="55"/>
        <v>0</v>
      </c>
      <c r="R79" s="126">
        <f t="shared" si="55"/>
        <v>0</v>
      </c>
      <c r="S79" s="126">
        <f t="shared" si="55"/>
        <v>0</v>
      </c>
      <c r="T79" s="126">
        <f t="shared" si="55"/>
        <v>0</v>
      </c>
      <c r="U79" s="126">
        <f t="shared" si="55"/>
        <v>0</v>
      </c>
      <c r="V79" s="126">
        <f t="shared" si="55"/>
        <v>0</v>
      </c>
      <c r="W79" s="126">
        <f t="shared" si="55"/>
        <v>0</v>
      </c>
      <c r="X79" s="126">
        <f t="shared" si="55"/>
        <v>0</v>
      </c>
      <c r="Y79" s="126">
        <f t="shared" si="55"/>
        <v>0</v>
      </c>
      <c r="Z79" s="126">
        <f t="shared" si="55"/>
        <v>0</v>
      </c>
      <c r="AA79" s="126">
        <f t="shared" si="55"/>
        <v>0</v>
      </c>
      <c r="AB79" s="126">
        <f t="shared" si="55"/>
        <v>0</v>
      </c>
      <c r="AC79" s="126">
        <f t="shared" si="55"/>
        <v>0</v>
      </c>
      <c r="AD79" s="126">
        <f t="shared" si="55"/>
        <v>0</v>
      </c>
      <c r="AE79" s="126">
        <f t="shared" si="55"/>
        <v>0</v>
      </c>
      <c r="AF79" s="126">
        <f t="shared" si="55"/>
        <v>0</v>
      </c>
      <c r="AG79" s="126">
        <f t="shared" si="55"/>
        <v>0</v>
      </c>
      <c r="AH79" s="126">
        <f t="shared" si="55"/>
        <v>0</v>
      </c>
      <c r="AI79" s="126">
        <f t="shared" si="55"/>
        <v>0</v>
      </c>
      <c r="AJ79" s="126">
        <f t="shared" si="55"/>
        <v>0</v>
      </c>
      <c r="AK79" s="126">
        <f t="shared" si="55"/>
        <v>0</v>
      </c>
      <c r="AL79" s="126">
        <f t="shared" si="55"/>
        <v>0</v>
      </c>
      <c r="AM79" s="126">
        <f t="shared" si="55"/>
        <v>0</v>
      </c>
      <c r="AN79" s="126">
        <f t="shared" si="55"/>
        <v>0</v>
      </c>
      <c r="AO79" s="126">
        <f t="shared" si="55"/>
        <v>0</v>
      </c>
      <c r="AP79" s="126">
        <f t="shared" si="55"/>
        <v>0</v>
      </c>
      <c r="AQ79" s="127">
        <f t="shared" si="55"/>
        <v>0</v>
      </c>
    </row>
    <row r="80" spans="2:43" ht="12.75" customHeight="1">
      <c r="B80" s="129"/>
      <c r="C80" s="130" t="str">
        <f t="shared" si="53"/>
        <v>Balance</v>
      </c>
      <c r="D80" s="131">
        <f t="shared" ref="D80:AQ80" si="56">D63</f>
        <v>0</v>
      </c>
      <c r="E80" s="131">
        <f t="shared" si="56"/>
        <v>0</v>
      </c>
      <c r="F80" s="131">
        <f t="shared" si="56"/>
        <v>0</v>
      </c>
      <c r="G80" s="131">
        <f t="shared" si="56"/>
        <v>0</v>
      </c>
      <c r="H80" s="131">
        <f t="shared" si="56"/>
        <v>0</v>
      </c>
      <c r="I80" s="131">
        <f t="shared" si="56"/>
        <v>0</v>
      </c>
      <c r="J80" s="131">
        <f t="shared" si="56"/>
        <v>0</v>
      </c>
      <c r="K80" s="131">
        <f t="shared" si="56"/>
        <v>0</v>
      </c>
      <c r="L80" s="131">
        <f t="shared" si="56"/>
        <v>0</v>
      </c>
      <c r="M80" s="131">
        <f t="shared" si="56"/>
        <v>0</v>
      </c>
      <c r="N80" s="131">
        <f t="shared" si="56"/>
        <v>0</v>
      </c>
      <c r="O80" s="131">
        <f t="shared" si="56"/>
        <v>0</v>
      </c>
      <c r="P80" s="131">
        <f t="shared" si="56"/>
        <v>0</v>
      </c>
      <c r="Q80" s="131">
        <f t="shared" si="56"/>
        <v>0</v>
      </c>
      <c r="R80" s="131">
        <f t="shared" si="56"/>
        <v>0</v>
      </c>
      <c r="S80" s="131">
        <f t="shared" si="56"/>
        <v>0</v>
      </c>
      <c r="T80" s="131">
        <f t="shared" si="56"/>
        <v>0</v>
      </c>
      <c r="U80" s="131">
        <f t="shared" si="56"/>
        <v>0</v>
      </c>
      <c r="V80" s="131">
        <f t="shared" si="56"/>
        <v>0</v>
      </c>
      <c r="W80" s="131">
        <f t="shared" si="56"/>
        <v>0</v>
      </c>
      <c r="X80" s="131">
        <f t="shared" si="56"/>
        <v>0</v>
      </c>
      <c r="Y80" s="131">
        <f t="shared" si="56"/>
        <v>0</v>
      </c>
      <c r="Z80" s="131">
        <f t="shared" si="56"/>
        <v>0</v>
      </c>
      <c r="AA80" s="131">
        <f t="shared" si="56"/>
        <v>0</v>
      </c>
      <c r="AB80" s="131">
        <f t="shared" si="56"/>
        <v>0</v>
      </c>
      <c r="AC80" s="131">
        <f t="shared" si="56"/>
        <v>0</v>
      </c>
      <c r="AD80" s="131">
        <f t="shared" si="56"/>
        <v>0</v>
      </c>
      <c r="AE80" s="131">
        <f t="shared" si="56"/>
        <v>0</v>
      </c>
      <c r="AF80" s="131">
        <f t="shared" si="56"/>
        <v>0</v>
      </c>
      <c r="AG80" s="131">
        <f t="shared" si="56"/>
        <v>0</v>
      </c>
      <c r="AH80" s="131">
        <f t="shared" si="56"/>
        <v>0</v>
      </c>
      <c r="AI80" s="131">
        <f t="shared" si="56"/>
        <v>0</v>
      </c>
      <c r="AJ80" s="131">
        <f t="shared" si="56"/>
        <v>0</v>
      </c>
      <c r="AK80" s="131">
        <f t="shared" si="56"/>
        <v>0</v>
      </c>
      <c r="AL80" s="131">
        <f t="shared" si="56"/>
        <v>0</v>
      </c>
      <c r="AM80" s="131">
        <f t="shared" si="56"/>
        <v>0</v>
      </c>
      <c r="AN80" s="131">
        <f t="shared" si="56"/>
        <v>0</v>
      </c>
      <c r="AO80" s="131">
        <f t="shared" si="56"/>
        <v>0</v>
      </c>
      <c r="AP80" s="131">
        <f t="shared" si="56"/>
        <v>0</v>
      </c>
      <c r="AQ80" s="132">
        <f t="shared" si="56"/>
        <v>0</v>
      </c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F2"/>
    <mergeCell ref="D4:E4"/>
  </mergeCells>
  <dataValidations count="1">
    <dataValidation type="list" allowBlank="1" showInputMessage="1" showErrorMessage="1" prompt=" - " sqref="E5">
      <formula1>"Yes,No"</formula1>
    </dataValidation>
  </dataValidations>
  <pageMargins left="0.7" right="0.7" top="0.75" bottom="0.75" header="0" footer="0"/>
  <pageSetup orientation="landscape" r:id="rId1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AU28"/>
  <sheetViews>
    <sheetView workbookViewId="0">
      <selection activeCell="C8" sqref="C8"/>
    </sheetView>
  </sheetViews>
  <sheetFormatPr defaultColWidth="12.7109375" defaultRowHeight="15.75" customHeight="1"/>
  <cols>
    <col min="1" max="1" width="2.28515625" customWidth="1"/>
    <col min="2" max="2" width="25" bestFit="1" customWidth="1"/>
    <col min="3" max="6" width="7.7109375" bestFit="1" customWidth="1"/>
    <col min="7" max="7" width="2" bestFit="1" customWidth="1"/>
    <col min="8" max="12" width="7.7109375" bestFit="1" customWidth="1"/>
    <col min="13" max="13" width="7.7109375" style="478" bestFit="1" customWidth="1"/>
    <col min="14" max="33" width="7.7109375" bestFit="1" customWidth="1"/>
    <col min="34" max="36" width="7.140625" bestFit="1" customWidth="1"/>
    <col min="37" max="37" width="7.7109375" bestFit="1" customWidth="1"/>
    <col min="38" max="41" width="8.7109375" bestFit="1" customWidth="1"/>
    <col min="42" max="44" width="7.7109375" bestFit="1" customWidth="1"/>
    <col min="45" max="46" width="7.140625" bestFit="1" customWidth="1"/>
    <col min="47" max="47" width="7.7109375" bestFit="1" customWidth="1"/>
  </cols>
  <sheetData>
    <row r="1" spans="2:47" ht="16.5" customHeight="1"/>
    <row r="2" spans="2:47" ht="24" thickBot="1">
      <c r="B2" s="756" t="s">
        <v>209</v>
      </c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3"/>
      <c r="AM2" s="563"/>
      <c r="AN2" s="563"/>
      <c r="AO2" s="563"/>
      <c r="AP2" s="563"/>
      <c r="AQ2" s="563"/>
      <c r="AR2" s="563"/>
      <c r="AS2" s="563"/>
      <c r="AT2" s="563"/>
      <c r="AU2" s="563"/>
    </row>
    <row r="3" spans="2:47" ht="15.75" customHeight="1">
      <c r="B3" s="548"/>
      <c r="C3" s="549" t="str">
        <f>'P&amp;L'!C2</f>
        <v>Q1</v>
      </c>
      <c r="D3" s="549" t="str">
        <f>'P&amp;L'!D2</f>
        <v>Q2</v>
      </c>
      <c r="E3" s="549" t="str">
        <f>'P&amp;L'!E2</f>
        <v>Q3</v>
      </c>
      <c r="F3" s="550" t="str">
        <f>'P&amp;L'!F2</f>
        <v>Q4</v>
      </c>
      <c r="G3" s="6">
        <f>'P&amp;L'!G2</f>
        <v>0</v>
      </c>
      <c r="H3" s="556" t="str">
        <f>'P&amp;L'!H2</f>
        <v>Year 1</v>
      </c>
      <c r="I3" s="549" t="str">
        <f>'P&amp;L'!I2</f>
        <v>Year 2</v>
      </c>
      <c r="J3" s="549" t="str">
        <f>'P&amp;L'!J2</f>
        <v>Year 3</v>
      </c>
      <c r="K3" s="549" t="str">
        <f>'P&amp;L'!K2</f>
        <v>Year 4</v>
      </c>
      <c r="L3" s="550" t="str">
        <f>'P&amp;L'!L2</f>
        <v>Year 5</v>
      </c>
      <c r="M3" s="550">
        <v>6</v>
      </c>
      <c r="N3" s="550">
        <f>M3+1</f>
        <v>7</v>
      </c>
      <c r="O3" s="550">
        <f t="shared" ref="O3:Q3" si="0">N3+1</f>
        <v>8</v>
      </c>
      <c r="P3" s="550">
        <f t="shared" si="0"/>
        <v>9</v>
      </c>
      <c r="Q3" s="550">
        <f t="shared" si="0"/>
        <v>10</v>
      </c>
      <c r="R3" s="550">
        <f t="shared" ref="R3:U3" si="1">Q3+1</f>
        <v>11</v>
      </c>
      <c r="S3" s="550">
        <f t="shared" si="1"/>
        <v>12</v>
      </c>
      <c r="T3" s="550">
        <f t="shared" si="1"/>
        <v>13</v>
      </c>
      <c r="U3" s="550">
        <f t="shared" si="1"/>
        <v>14</v>
      </c>
      <c r="V3" s="550">
        <f t="shared" ref="V3:AU3" si="2">U3+1</f>
        <v>15</v>
      </c>
      <c r="W3" s="550">
        <f t="shared" si="2"/>
        <v>16</v>
      </c>
      <c r="X3" s="550">
        <f t="shared" si="2"/>
        <v>17</v>
      </c>
      <c r="Y3" s="550">
        <f t="shared" si="2"/>
        <v>18</v>
      </c>
      <c r="Z3" s="550">
        <f t="shared" si="2"/>
        <v>19</v>
      </c>
      <c r="AA3" s="550">
        <f t="shared" si="2"/>
        <v>20</v>
      </c>
      <c r="AB3" s="550">
        <f t="shared" si="2"/>
        <v>21</v>
      </c>
      <c r="AC3" s="550">
        <f t="shared" si="2"/>
        <v>22</v>
      </c>
      <c r="AD3" s="550">
        <f t="shared" si="2"/>
        <v>23</v>
      </c>
      <c r="AE3" s="550">
        <f t="shared" si="2"/>
        <v>24</v>
      </c>
      <c r="AF3" s="550">
        <f t="shared" si="2"/>
        <v>25</v>
      </c>
      <c r="AG3" s="550">
        <f t="shared" si="2"/>
        <v>26</v>
      </c>
      <c r="AH3" s="550">
        <f t="shared" si="2"/>
        <v>27</v>
      </c>
      <c r="AI3" s="550">
        <f t="shared" si="2"/>
        <v>28</v>
      </c>
      <c r="AJ3" s="550">
        <f t="shared" si="2"/>
        <v>29</v>
      </c>
      <c r="AK3" s="550">
        <f t="shared" si="2"/>
        <v>30</v>
      </c>
      <c r="AL3" s="550">
        <f t="shared" si="2"/>
        <v>31</v>
      </c>
      <c r="AM3" s="550">
        <f t="shared" si="2"/>
        <v>32</v>
      </c>
      <c r="AN3" s="550">
        <f t="shared" si="2"/>
        <v>33</v>
      </c>
      <c r="AO3" s="550">
        <f t="shared" si="2"/>
        <v>34</v>
      </c>
      <c r="AP3" s="550">
        <f t="shared" si="2"/>
        <v>35</v>
      </c>
      <c r="AQ3" s="550">
        <f t="shared" si="2"/>
        <v>36</v>
      </c>
      <c r="AR3" s="550">
        <f t="shared" si="2"/>
        <v>37</v>
      </c>
      <c r="AS3" s="550">
        <f t="shared" si="2"/>
        <v>38</v>
      </c>
      <c r="AT3" s="550">
        <f t="shared" si="2"/>
        <v>39</v>
      </c>
      <c r="AU3" s="550">
        <f t="shared" si="2"/>
        <v>40</v>
      </c>
    </row>
    <row r="4" spans="2:47" ht="15.75" customHeight="1">
      <c r="B4" s="253" t="s">
        <v>38</v>
      </c>
      <c r="C4" s="482">
        <f>'P&amp;L'!C32</f>
        <v>-7477.0583999999999</v>
      </c>
      <c r="D4" s="482">
        <f>'P&amp;L'!D32</f>
        <v>1972.9416000000001</v>
      </c>
      <c r="E4" s="482">
        <f>'P&amp;L'!E32</f>
        <v>1972.9416000000001</v>
      </c>
      <c r="F4" s="551">
        <f>'P&amp;L'!F32</f>
        <v>1972.9416000000001</v>
      </c>
      <c r="G4" s="12"/>
      <c r="H4" s="557">
        <f>SUM(C4:F4)</f>
        <v>-1558.2335999999996</v>
      </c>
      <c r="I4" s="482">
        <f ca="1">'P&amp;L'!I32</f>
        <v>3192.5085912000031</v>
      </c>
      <c r="J4" s="482">
        <f ca="1">'P&amp;L'!J32</f>
        <v>3563.3150582136022</v>
      </c>
      <c r="K4" s="482">
        <f ca="1">'P&amp;L'!K32</f>
        <v>3953.0002134098831</v>
      </c>
      <c r="L4" s="551">
        <f ca="1">'P&amp;L'!L32</f>
        <v>4362.3488837789628</v>
      </c>
      <c r="M4" s="551">
        <f ca="1">'Financial Model'!P28</f>
        <v>4791.15183855537</v>
      </c>
      <c r="N4" s="551">
        <f ca="1">'Financial Model'!P29</f>
        <v>5224.4615876019425</v>
      </c>
      <c r="O4" s="551">
        <f ca="1">'Financial Model'!P30</f>
        <v>5676.9667236048326</v>
      </c>
      <c r="P4" s="551">
        <f ca="1">'Financial Model'!P31</f>
        <v>6149.37782101841</v>
      </c>
      <c r="Q4" s="551">
        <f ca="1">'Financial Model'!P32</f>
        <v>-7875.6024318501404</v>
      </c>
      <c r="R4" s="551">
        <f ca="1">'Financial Model'!P33</f>
        <v>6679.7937993063033</v>
      </c>
      <c r="S4" s="551">
        <f ca="1">'Financial Model'!P34</f>
        <v>7080.425892051122</v>
      </c>
      <c r="T4" s="551">
        <f ca="1">'Financial Model'!P35</f>
        <v>7490.0929177102171</v>
      </c>
      <c r="U4" s="551">
        <f ca="1">'Financial Model'!P36</f>
        <v>7885.9078771558161</v>
      </c>
      <c r="V4" s="551">
        <f ca="1">'Financial Model'!P37</f>
        <v>8293.2965318628321</v>
      </c>
      <c r="W4" s="551">
        <f ca="1">'Financial Model'!P38</f>
        <v>8712.4815667856492</v>
      </c>
      <c r="X4" s="551">
        <f ca="1">'Financial Model'!P39</f>
        <v>9143.6860305609262</v>
      </c>
      <c r="Y4" s="551">
        <f ca="1">'Financial Model'!P40</f>
        <v>9587.1331005535103</v>
      </c>
      <c r="Z4" s="551">
        <f ca="1">'Financial Model'!P41</f>
        <v>10043.04583228752</v>
      </c>
      <c r="AA4" s="551">
        <f ca="1">'Financial Model'!P42</f>
        <v>-8072.6615156582666</v>
      </c>
      <c r="AB4" s="551">
        <f ca="1">'Financial Model'!P43</f>
        <v>12483.574576160745</v>
      </c>
      <c r="AC4" s="551">
        <f ca="1">'Financial Model'!P44</f>
        <v>13318.355112045387</v>
      </c>
      <c r="AD4" s="551">
        <f ca="1">'Financial Model'!P45</f>
        <v>14131.05199852055</v>
      </c>
      <c r="AE4" s="551">
        <f ca="1">'Financial Model'!P46</f>
        <v>14977.012986465728</v>
      </c>
      <c r="AF4" s="551">
        <f ca="1">'Financial Model'!P47</f>
        <v>15857.427026004383</v>
      </c>
      <c r="AG4" s="551">
        <f ca="1">'Financial Model'!P48</f>
        <v>16778.541031396617</v>
      </c>
      <c r="AH4" s="551">
        <f ca="1">'Financial Model'!P49</f>
        <v>17731.709650792527</v>
      </c>
      <c r="AI4" s="551">
        <f ca="1">'Financial Model'!P50</f>
        <v>18723.143854115722</v>
      </c>
      <c r="AJ4" s="551">
        <f ca="1">'Financial Model'!P51</f>
        <v>19754.198820088237</v>
      </c>
      <c r="AK4" s="551">
        <f ca="1">'Financial Model'!P52</f>
        <v>-2963.2113298875629</v>
      </c>
      <c r="AL4" s="551">
        <f ca="1">'Financial Model'!P52</f>
        <v>-2963.2113298875629</v>
      </c>
      <c r="AM4" s="551">
        <f ca="1">'Financial Model'!P54</f>
        <v>22592.27580322342</v>
      </c>
      <c r="AN4" s="551">
        <f ca="1">'Financial Model'!P55</f>
        <v>23834.844682468949</v>
      </c>
      <c r="AO4" s="551">
        <f ca="1">'Financial Model'!P56</f>
        <v>25073.61933565437</v>
      </c>
      <c r="AP4" s="551">
        <f ca="1">'Financial Model'!P57</f>
        <v>26360.840558914235</v>
      </c>
      <c r="AQ4" s="551">
        <f ca="1">'Financial Model'!P58</f>
        <v>27698.202127690296</v>
      </c>
      <c r="AR4" s="551">
        <f ca="1">'Financial Model'!P59</f>
        <v>29087.453510886124</v>
      </c>
      <c r="AS4" s="551">
        <f ca="1">'Financial Model'!P60</f>
        <v>30530.401632991714</v>
      </c>
      <c r="AT4" s="551">
        <f ca="1">'Financial Model'!P61</f>
        <v>32028.912690518318</v>
      </c>
      <c r="AU4" s="551">
        <f ca="1">'Financial Model'!P62</f>
        <v>3132.3607353293773</v>
      </c>
    </row>
    <row r="5" spans="2:47" ht="15.75" customHeight="1">
      <c r="B5" s="253" t="s">
        <v>210</v>
      </c>
      <c r="C5" s="482"/>
      <c r="D5" s="482"/>
      <c r="E5" s="482"/>
      <c r="F5" s="551"/>
      <c r="G5" s="12"/>
      <c r="H5" s="557"/>
      <c r="I5" s="482"/>
      <c r="J5" s="482"/>
      <c r="K5" s="482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551"/>
      <c r="Y5" s="551"/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1"/>
      <c r="AQ5" s="551"/>
      <c r="AR5" s="551"/>
      <c r="AS5" s="551"/>
      <c r="AT5" s="551"/>
      <c r="AU5" s="551"/>
    </row>
    <row r="6" spans="2:47" ht="15.75" customHeight="1">
      <c r="B6" s="495" t="s">
        <v>42</v>
      </c>
      <c r="C6" s="482">
        <f ca="1">'P&amp;L'!C39</f>
        <v>-416.66666666666669</v>
      </c>
      <c r="D6" s="482">
        <f ca="1">'P&amp;L'!D39</f>
        <v>-416.66666666666669</v>
      </c>
      <c r="E6" s="482">
        <f ca="1">'P&amp;L'!E39</f>
        <v>-416.66666666666669</v>
      </c>
      <c r="F6" s="551">
        <f ca="1">'P&amp;L'!F39</f>
        <v>-416.66666666666669</v>
      </c>
      <c r="G6" s="12"/>
      <c r="H6" s="557">
        <f ca="1">'P&amp;L'!H39</f>
        <v>-1666.6666666666667</v>
      </c>
      <c r="I6" s="482">
        <f ca="1">'P&amp;L'!I39</f>
        <v>-1666.666666666667</v>
      </c>
      <c r="J6" s="482">
        <f ca="1">'P&amp;L'!J39</f>
        <v>-1666.666666666667</v>
      </c>
      <c r="K6" s="482">
        <f ca="1">'P&amp;L'!K39</f>
        <v>-1666.666666666667</v>
      </c>
      <c r="L6" s="551">
        <f ca="1">'P&amp;L'!L39</f>
        <v>-1666.666666666667</v>
      </c>
      <c r="M6" s="551">
        <f ca="1">'P&amp;L'!M39</f>
        <v>-1666.666666666667</v>
      </c>
      <c r="N6" s="551">
        <f ca="1">'P&amp;L'!N39</f>
        <v>-1666.666666666667</v>
      </c>
      <c r="O6" s="551">
        <f ca="1">'P&amp;L'!O39</f>
        <v>-1666.666666666667</v>
      </c>
      <c r="P6" s="551">
        <f ca="1">'P&amp;L'!P39</f>
        <v>-1666.666666666667</v>
      </c>
      <c r="Q6" s="551">
        <f ca="1">'P&amp;L'!Q39</f>
        <v>-1666.666666666667</v>
      </c>
      <c r="R6" s="551">
        <f ca="1">'P&amp;L'!R39</f>
        <v>-1666.666666666667</v>
      </c>
      <c r="S6" s="551">
        <f ca="1">'P&amp;L'!S39</f>
        <v>-1666.666666666667</v>
      </c>
      <c r="T6" s="551">
        <f ca="1">'P&amp;L'!T39</f>
        <v>-1666.666666666667</v>
      </c>
      <c r="U6" s="551">
        <f ca="1">'P&amp;L'!U39</f>
        <v>-1666.666666666667</v>
      </c>
      <c r="V6" s="551">
        <f ca="1">'P&amp;L'!V39</f>
        <v>-1666.666666666667</v>
      </c>
      <c r="W6" s="551">
        <f ca="1">'P&amp;L'!W39</f>
        <v>-1666.666666666667</v>
      </c>
      <c r="X6" s="551">
        <f ca="1">'P&amp;L'!X39</f>
        <v>-1666.666666666667</v>
      </c>
      <c r="Y6" s="551">
        <f ca="1">'P&amp;L'!Y39</f>
        <v>-1666.666666666667</v>
      </c>
      <c r="Z6" s="551">
        <f ca="1">'P&amp;L'!Z39</f>
        <v>-1666.666666666667</v>
      </c>
      <c r="AA6" s="551">
        <f ca="1">'P&amp;L'!AA39</f>
        <v>-1666.666666666667</v>
      </c>
      <c r="AB6" s="551">
        <f ca="1">'P&amp;L'!AB39</f>
        <v>-1666.666666666667</v>
      </c>
      <c r="AC6" s="551">
        <f ca="1">'P&amp;L'!AC39</f>
        <v>-1666.666666666667</v>
      </c>
      <c r="AD6" s="551">
        <f ca="1">'P&amp;L'!AD39</f>
        <v>-1666.666666666667</v>
      </c>
      <c r="AE6" s="551">
        <f ca="1">'P&amp;L'!AE39</f>
        <v>-1666.666666666667</v>
      </c>
      <c r="AF6" s="551">
        <f ca="1">'P&amp;L'!AF39</f>
        <v>-1666.666666666667</v>
      </c>
      <c r="AG6" s="551">
        <f ca="1">'P&amp;L'!AG39</f>
        <v>-1666.666666666667</v>
      </c>
      <c r="AH6" s="551">
        <f ca="1">'P&amp;L'!AH39</f>
        <v>-1666.666666666667</v>
      </c>
      <c r="AI6" s="551">
        <f ca="1">'P&amp;L'!AI39</f>
        <v>-1666.666666666667</v>
      </c>
      <c r="AJ6" s="551">
        <f ca="1">'P&amp;L'!AJ39</f>
        <v>-1666.666666666667</v>
      </c>
      <c r="AK6" s="551">
        <f ca="1">'P&amp;L'!AK39</f>
        <v>-1666.666666666667</v>
      </c>
      <c r="AL6" s="551">
        <f ca="1">'P&amp;L'!AL39</f>
        <v>-1500</v>
      </c>
      <c r="AM6" s="551">
        <f ca="1">'P&amp;L'!AM39</f>
        <v>-1500</v>
      </c>
      <c r="AN6" s="551">
        <f ca="1">'P&amp;L'!AN39</f>
        <v>-1500</v>
      </c>
      <c r="AO6" s="551">
        <f ca="1">'P&amp;L'!AO39</f>
        <v>-1500</v>
      </c>
      <c r="AP6" s="551">
        <f ca="1">'P&amp;L'!AP39</f>
        <v>-1500</v>
      </c>
      <c r="AQ6" s="551">
        <f ca="1">'P&amp;L'!AQ39</f>
        <v>-1500</v>
      </c>
      <c r="AR6" s="551">
        <f ca="1">'P&amp;L'!AR39</f>
        <v>-1500</v>
      </c>
      <c r="AS6" s="551">
        <f ca="1">'P&amp;L'!AS39</f>
        <v>-1500</v>
      </c>
      <c r="AT6" s="551">
        <f ca="1">'P&amp;L'!AT39</f>
        <v>-1500</v>
      </c>
      <c r="AU6" s="551">
        <f ca="1">'P&amp;L'!AU39</f>
        <v>-1500</v>
      </c>
    </row>
    <row r="7" spans="2:47" ht="15.75" customHeight="1">
      <c r="B7" s="253" t="s">
        <v>211</v>
      </c>
      <c r="C7" s="482"/>
      <c r="D7" s="482"/>
      <c r="E7" s="482"/>
      <c r="F7" s="551"/>
      <c r="G7" s="12"/>
      <c r="H7" s="557">
        <f t="shared" ref="H7:H9" si="3">SUM(C7:F7)</f>
        <v>0</v>
      </c>
      <c r="I7" s="482"/>
      <c r="J7" s="482"/>
      <c r="K7" s="482"/>
      <c r="L7" s="551"/>
      <c r="M7" s="551"/>
      <c r="N7" s="551"/>
      <c r="O7" s="551"/>
      <c r="P7" s="551"/>
      <c r="Q7" s="551"/>
      <c r="R7" s="551"/>
      <c r="S7" s="551"/>
      <c r="T7" s="551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1"/>
      <c r="AG7" s="551"/>
      <c r="AH7" s="551"/>
      <c r="AI7" s="551"/>
      <c r="AJ7" s="551"/>
      <c r="AK7" s="551"/>
      <c r="AL7" s="551"/>
      <c r="AM7" s="551"/>
      <c r="AN7" s="551"/>
      <c r="AO7" s="551"/>
      <c r="AP7" s="551"/>
      <c r="AQ7" s="551"/>
      <c r="AR7" s="551"/>
      <c r="AS7" s="551"/>
      <c r="AT7" s="551"/>
      <c r="AU7" s="551"/>
    </row>
    <row r="8" spans="2:47" ht="15.75" customHeight="1">
      <c r="B8" s="253" t="s">
        <v>212</v>
      </c>
      <c r="C8" s="482">
        <f>-'Start Up Costs'!J4+'Start Up Costs'!F14</f>
        <v>-5000</v>
      </c>
      <c r="D8" s="482"/>
      <c r="E8" s="482"/>
      <c r="F8" s="551"/>
      <c r="G8" s="12"/>
      <c r="H8" s="561">
        <f t="shared" si="3"/>
        <v>-5000</v>
      </c>
      <c r="I8" s="560"/>
      <c r="J8" s="560"/>
      <c r="K8" s="560"/>
      <c r="L8" s="562"/>
      <c r="M8" s="562"/>
      <c r="N8" s="562"/>
      <c r="O8" s="562"/>
      <c r="P8" s="562"/>
      <c r="Q8" s="562"/>
      <c r="R8" s="562"/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2"/>
      <c r="AE8" s="562"/>
      <c r="AF8" s="562"/>
      <c r="AG8" s="562"/>
      <c r="AH8" s="562"/>
      <c r="AI8" s="562"/>
      <c r="AJ8" s="562"/>
      <c r="AK8" s="562"/>
      <c r="AL8" s="562"/>
      <c r="AM8" s="562"/>
      <c r="AN8" s="562"/>
      <c r="AO8" s="562"/>
      <c r="AP8" s="562"/>
      <c r="AQ8" s="562"/>
      <c r="AR8" s="562"/>
      <c r="AS8" s="562"/>
      <c r="AT8" s="562"/>
      <c r="AU8" s="562"/>
    </row>
    <row r="9" spans="2:47" ht="15.75" customHeight="1">
      <c r="B9" s="253" t="s">
        <v>213</v>
      </c>
      <c r="C9" s="552">
        <f t="shared" ref="C9:F9" ca="1" si="4">SUM(C4:C8)</f>
        <v>-12893.725066666666</v>
      </c>
      <c r="D9" s="552">
        <f t="shared" ca="1" si="4"/>
        <v>1556.2749333333334</v>
      </c>
      <c r="E9" s="552">
        <f t="shared" ca="1" si="4"/>
        <v>1556.2749333333334</v>
      </c>
      <c r="F9" s="553">
        <f t="shared" ca="1" si="4"/>
        <v>1556.2749333333334</v>
      </c>
      <c r="G9" s="12"/>
      <c r="H9" s="557">
        <f t="shared" ca="1" si="3"/>
        <v>-8224.9002666666638</v>
      </c>
      <c r="I9" s="482">
        <f t="shared" ref="I9:L9" ca="1" si="5">SUM(I4:I8)</f>
        <v>1525.8419245333362</v>
      </c>
      <c r="J9" s="482">
        <f t="shared" ca="1" si="5"/>
        <v>1896.6483915469353</v>
      </c>
      <c r="K9" s="482">
        <f t="shared" ca="1" si="5"/>
        <v>2286.3335467432162</v>
      </c>
      <c r="L9" s="551">
        <f t="shared" ca="1" si="5"/>
        <v>2695.6822171122958</v>
      </c>
      <c r="M9" s="551">
        <f t="shared" ref="M9:N9" ca="1" si="6">SUM(M4:M8)</f>
        <v>3124.485171888703</v>
      </c>
      <c r="N9" s="551">
        <f t="shared" ca="1" si="6"/>
        <v>3557.7949209352755</v>
      </c>
      <c r="O9" s="551">
        <f t="shared" ref="O9:Q9" ca="1" si="7">SUM(O4:O8)</f>
        <v>4010.3000569381657</v>
      </c>
      <c r="P9" s="551">
        <f t="shared" ca="1" si="7"/>
        <v>4482.7111543517431</v>
      </c>
      <c r="Q9" s="551">
        <f t="shared" ca="1" si="7"/>
        <v>-9542.2690985168083</v>
      </c>
      <c r="R9" s="551">
        <f t="shared" ref="R9:U9" ca="1" si="8">SUM(R4:R8)</f>
        <v>5013.1271326396363</v>
      </c>
      <c r="S9" s="551">
        <f t="shared" ca="1" si="8"/>
        <v>5413.759225384455</v>
      </c>
      <c r="T9" s="551">
        <f t="shared" ca="1" si="8"/>
        <v>5823.4262510435501</v>
      </c>
      <c r="U9" s="551">
        <f t="shared" ca="1" si="8"/>
        <v>6219.2412104891491</v>
      </c>
      <c r="V9" s="551">
        <f t="shared" ref="V9:AU9" ca="1" si="9">SUM(V4:V8)</f>
        <v>6626.6298651961652</v>
      </c>
      <c r="W9" s="551">
        <f t="shared" ca="1" si="9"/>
        <v>7045.8149001189822</v>
      </c>
      <c r="X9" s="551">
        <f t="shared" ca="1" si="9"/>
        <v>7477.0193638942592</v>
      </c>
      <c r="Y9" s="551">
        <f t="shared" ca="1" si="9"/>
        <v>7920.4664338868433</v>
      </c>
      <c r="Z9" s="551">
        <f t="shared" ca="1" si="9"/>
        <v>8376.3791656208523</v>
      </c>
      <c r="AA9" s="551">
        <f t="shared" ca="1" si="9"/>
        <v>-9739.3281823249345</v>
      </c>
      <c r="AB9" s="551">
        <f t="shared" ca="1" si="9"/>
        <v>10816.907909494079</v>
      </c>
      <c r="AC9" s="551">
        <f t="shared" ca="1" si="9"/>
        <v>11651.688445378721</v>
      </c>
      <c r="AD9" s="551">
        <f t="shared" ca="1" si="9"/>
        <v>12464.385331853882</v>
      </c>
      <c r="AE9" s="551">
        <f t="shared" ca="1" si="9"/>
        <v>13310.34631979906</v>
      </c>
      <c r="AF9" s="551">
        <f t="shared" ca="1" si="9"/>
        <v>14190.760359337717</v>
      </c>
      <c r="AG9" s="551">
        <f t="shared" ca="1" si="9"/>
        <v>15111.874364729949</v>
      </c>
      <c r="AH9" s="551">
        <f t="shared" ca="1" si="9"/>
        <v>16065.042984125859</v>
      </c>
      <c r="AI9" s="551">
        <f t="shared" ca="1" si="9"/>
        <v>17056.477187449054</v>
      </c>
      <c r="AJ9" s="551">
        <f t="shared" ca="1" si="9"/>
        <v>18087.532153421569</v>
      </c>
      <c r="AK9" s="551">
        <f t="shared" ca="1" si="9"/>
        <v>-4629.8779965542299</v>
      </c>
      <c r="AL9" s="551">
        <f t="shared" ca="1" si="9"/>
        <v>-4463.2113298875629</v>
      </c>
      <c r="AM9" s="551">
        <f t="shared" ca="1" si="9"/>
        <v>21092.27580322342</v>
      </c>
      <c r="AN9" s="551">
        <f t="shared" ca="1" si="9"/>
        <v>22334.844682468949</v>
      </c>
      <c r="AO9" s="551">
        <f t="shared" ca="1" si="9"/>
        <v>23573.61933565437</v>
      </c>
      <c r="AP9" s="551">
        <f t="shared" ca="1" si="9"/>
        <v>24860.840558914235</v>
      </c>
      <c r="AQ9" s="551">
        <f t="shared" ca="1" si="9"/>
        <v>26198.202127690296</v>
      </c>
      <c r="AR9" s="551">
        <f t="shared" ca="1" si="9"/>
        <v>27587.453510886124</v>
      </c>
      <c r="AS9" s="551">
        <f t="shared" ca="1" si="9"/>
        <v>29030.401632991714</v>
      </c>
      <c r="AT9" s="551">
        <f t="shared" ca="1" si="9"/>
        <v>30528.912690518318</v>
      </c>
      <c r="AU9" s="551">
        <f t="shared" ca="1" si="9"/>
        <v>1632.3607353293773</v>
      </c>
    </row>
    <row r="10" spans="2:47" ht="15.75" customHeight="1">
      <c r="B10" s="466"/>
      <c r="C10" s="482"/>
      <c r="D10" s="482"/>
      <c r="E10" s="482"/>
      <c r="F10" s="551"/>
      <c r="G10" s="12"/>
      <c r="H10" s="557"/>
      <c r="I10" s="482"/>
      <c r="J10" s="482"/>
      <c r="K10" s="482"/>
      <c r="L10" s="551"/>
      <c r="M10" s="551"/>
      <c r="N10" s="551"/>
      <c r="O10" s="551"/>
      <c r="P10" s="551"/>
      <c r="Q10" s="551"/>
      <c r="R10" s="551"/>
      <c r="S10" s="551"/>
      <c r="T10" s="551"/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1"/>
      <c r="AG10" s="551"/>
      <c r="AH10" s="551"/>
      <c r="AI10" s="551"/>
      <c r="AJ10" s="551"/>
      <c r="AK10" s="551"/>
      <c r="AL10" s="551"/>
      <c r="AM10" s="551"/>
      <c r="AN10" s="551"/>
      <c r="AO10" s="551"/>
      <c r="AP10" s="551"/>
      <c r="AQ10" s="551"/>
      <c r="AR10" s="551"/>
      <c r="AS10" s="551"/>
      <c r="AT10" s="551"/>
      <c r="AU10" s="551"/>
    </row>
    <row r="11" spans="2:47" ht="15.75" customHeight="1">
      <c r="B11" s="253" t="s">
        <v>214</v>
      </c>
      <c r="C11" s="482">
        <v>0</v>
      </c>
      <c r="D11" s="482">
        <f t="shared" ref="D11:F11" ca="1" si="10">C14</f>
        <v>-12893.725066666666</v>
      </c>
      <c r="E11" s="482">
        <f t="shared" ca="1" si="10"/>
        <v>-11337.450133333332</v>
      </c>
      <c r="F11" s="551">
        <f t="shared" ca="1" si="10"/>
        <v>-9781.1751999999979</v>
      </c>
      <c r="G11" s="12"/>
      <c r="H11" s="557">
        <v>0</v>
      </c>
      <c r="I11" s="482">
        <f t="shared" ref="I11:N11" ca="1" si="11">H14</f>
        <v>-8224.9002666666656</v>
      </c>
      <c r="J11" s="482">
        <f t="shared" ca="1" si="11"/>
        <v>-6699.0583421333295</v>
      </c>
      <c r="K11" s="482">
        <f t="shared" ca="1" si="11"/>
        <v>-4802.4099505863942</v>
      </c>
      <c r="L11" s="551">
        <f t="shared" ca="1" si="11"/>
        <v>-2516.076403843178</v>
      </c>
      <c r="M11" s="551">
        <f t="shared" ca="1" si="11"/>
        <v>0</v>
      </c>
      <c r="N11" s="551">
        <f t="shared" ca="1" si="11"/>
        <v>0</v>
      </c>
      <c r="O11" s="551">
        <f t="shared" ref="O11" ca="1" si="12">N14</f>
        <v>0</v>
      </c>
      <c r="P11" s="551">
        <f t="shared" ref="P11" ca="1" si="13">O14</f>
        <v>0</v>
      </c>
      <c r="Q11" s="551">
        <f t="shared" ref="Q11" ca="1" si="14">P14</f>
        <v>0</v>
      </c>
      <c r="R11" s="551">
        <f t="shared" ref="R11" ca="1" si="15">Q14</f>
        <v>-9542.2690985168083</v>
      </c>
      <c r="S11" s="551">
        <f t="shared" ref="S11" ca="1" si="16">R14</f>
        <v>-4529.141965877172</v>
      </c>
      <c r="T11" s="551">
        <f t="shared" ref="T11" ca="1" si="17">S14</f>
        <v>0</v>
      </c>
      <c r="U11" s="551">
        <f t="shared" ref="U11" ca="1" si="18">T14</f>
        <v>0</v>
      </c>
      <c r="V11" s="551">
        <f t="shared" ref="V11" ca="1" si="19">U14</f>
        <v>0</v>
      </c>
      <c r="W11" s="551">
        <f t="shared" ref="W11" ca="1" si="20">V14</f>
        <v>0</v>
      </c>
      <c r="X11" s="551">
        <f t="shared" ref="X11" ca="1" si="21">W14</f>
        <v>0</v>
      </c>
      <c r="Y11" s="551">
        <f t="shared" ref="Y11" ca="1" si="22">X14</f>
        <v>0</v>
      </c>
      <c r="Z11" s="551">
        <f t="shared" ref="Z11" ca="1" si="23">Y14</f>
        <v>0</v>
      </c>
      <c r="AA11" s="551">
        <f t="shared" ref="AA11" ca="1" si="24">Z14</f>
        <v>0</v>
      </c>
      <c r="AB11" s="551">
        <f t="shared" ref="AB11" ca="1" si="25">AA14</f>
        <v>-9739.3281823249345</v>
      </c>
      <c r="AC11" s="551">
        <f t="shared" ref="AC11" ca="1" si="26">AB14</f>
        <v>0</v>
      </c>
      <c r="AD11" s="551">
        <f t="shared" ref="AD11" ca="1" si="27">AC14</f>
        <v>0</v>
      </c>
      <c r="AE11" s="551">
        <f t="shared" ref="AE11" ca="1" si="28">AD14</f>
        <v>0</v>
      </c>
      <c r="AF11" s="551">
        <f t="shared" ref="AF11" ca="1" si="29">AE14</f>
        <v>0</v>
      </c>
      <c r="AG11" s="551">
        <f t="shared" ref="AG11" ca="1" si="30">AF14</f>
        <v>0</v>
      </c>
      <c r="AH11" s="551">
        <f t="shared" ref="AH11" ca="1" si="31">AG14</f>
        <v>0</v>
      </c>
      <c r="AI11" s="551">
        <f t="shared" ref="AI11" ca="1" si="32">AH14</f>
        <v>0</v>
      </c>
      <c r="AJ11" s="551">
        <f t="shared" ref="AJ11" ca="1" si="33">AI14</f>
        <v>0</v>
      </c>
      <c r="AK11" s="551">
        <f t="shared" ref="AK11" ca="1" si="34">AJ14</f>
        <v>0</v>
      </c>
      <c r="AL11" s="551">
        <f t="shared" ref="AL11" ca="1" si="35">AK14</f>
        <v>-4629.8779965542299</v>
      </c>
      <c r="AM11" s="551">
        <f t="shared" ref="AM11" ca="1" si="36">AL14</f>
        <v>-9093.0893264417937</v>
      </c>
      <c r="AN11" s="551">
        <f t="shared" ref="AN11" ca="1" si="37">AM14</f>
        <v>0</v>
      </c>
      <c r="AO11" s="551">
        <f t="shared" ref="AO11" ca="1" si="38">AN14</f>
        <v>0</v>
      </c>
      <c r="AP11" s="551">
        <f t="shared" ref="AP11" ca="1" si="39">AO14</f>
        <v>0</v>
      </c>
      <c r="AQ11" s="551">
        <f t="shared" ref="AQ11" ca="1" si="40">AP14</f>
        <v>0</v>
      </c>
      <c r="AR11" s="551">
        <f t="shared" ref="AR11" ca="1" si="41">AQ14</f>
        <v>0</v>
      </c>
      <c r="AS11" s="551">
        <f t="shared" ref="AS11" ca="1" si="42">AR14</f>
        <v>0</v>
      </c>
      <c r="AT11" s="551">
        <f t="shared" ref="AT11" ca="1" si="43">AS14</f>
        <v>0</v>
      </c>
      <c r="AU11" s="551">
        <f t="shared" ref="AU11" ca="1" si="44">AT14</f>
        <v>0</v>
      </c>
    </row>
    <row r="12" spans="2:47" ht="15.75" customHeight="1">
      <c r="B12" s="253" t="s">
        <v>215</v>
      </c>
      <c r="C12" s="482">
        <f t="shared" ref="C12:F12" ca="1" si="45">IF(C9&lt;0, C9,0)</f>
        <v>-12893.725066666666</v>
      </c>
      <c r="D12" s="482">
        <f t="shared" ca="1" si="45"/>
        <v>0</v>
      </c>
      <c r="E12" s="482">
        <f t="shared" ca="1" si="45"/>
        <v>0</v>
      </c>
      <c r="F12" s="551">
        <f t="shared" ca="1" si="45"/>
        <v>0</v>
      </c>
      <c r="G12" s="12"/>
      <c r="H12" s="557">
        <f t="shared" ref="H12:H13" ca="1" si="46">SUM(C12:F12)</f>
        <v>-12893.725066666666</v>
      </c>
      <c r="I12" s="482">
        <f t="shared" ref="I12:L12" ca="1" si="47">IF(I9&lt;0, I9,0)</f>
        <v>0</v>
      </c>
      <c r="J12" s="482">
        <f t="shared" ca="1" si="47"/>
        <v>0</v>
      </c>
      <c r="K12" s="482">
        <f t="shared" ca="1" si="47"/>
        <v>0</v>
      </c>
      <c r="L12" s="551">
        <f t="shared" ca="1" si="47"/>
        <v>0</v>
      </c>
      <c r="M12" s="551">
        <f t="shared" ref="M12:N12" ca="1" si="48">IF(M9&lt;0, M9,0)</f>
        <v>0</v>
      </c>
      <c r="N12" s="551">
        <f t="shared" ca="1" si="48"/>
        <v>0</v>
      </c>
      <c r="O12" s="551">
        <f t="shared" ref="O12:Q12" ca="1" si="49">IF(O9&lt;0, O9,0)</f>
        <v>0</v>
      </c>
      <c r="P12" s="551">
        <f t="shared" ca="1" si="49"/>
        <v>0</v>
      </c>
      <c r="Q12" s="551">
        <f t="shared" ca="1" si="49"/>
        <v>-9542.2690985168083</v>
      </c>
      <c r="R12" s="551">
        <f t="shared" ref="R12:U12" ca="1" si="50">IF(R9&lt;0, R9,0)</f>
        <v>0</v>
      </c>
      <c r="S12" s="551">
        <f t="shared" ca="1" si="50"/>
        <v>0</v>
      </c>
      <c r="T12" s="551">
        <f t="shared" ca="1" si="50"/>
        <v>0</v>
      </c>
      <c r="U12" s="551">
        <f t="shared" ca="1" si="50"/>
        <v>0</v>
      </c>
      <c r="V12" s="551">
        <f t="shared" ref="V12:AU12" ca="1" si="51">IF(V9&lt;0, V9,0)</f>
        <v>0</v>
      </c>
      <c r="W12" s="551">
        <f t="shared" ca="1" si="51"/>
        <v>0</v>
      </c>
      <c r="X12" s="551">
        <f t="shared" ca="1" si="51"/>
        <v>0</v>
      </c>
      <c r="Y12" s="551">
        <f t="shared" ca="1" si="51"/>
        <v>0</v>
      </c>
      <c r="Z12" s="551">
        <f t="shared" ca="1" si="51"/>
        <v>0</v>
      </c>
      <c r="AA12" s="551">
        <f t="shared" ca="1" si="51"/>
        <v>-9739.3281823249345</v>
      </c>
      <c r="AB12" s="551">
        <f t="shared" ca="1" si="51"/>
        <v>0</v>
      </c>
      <c r="AC12" s="551">
        <f t="shared" ca="1" si="51"/>
        <v>0</v>
      </c>
      <c r="AD12" s="551">
        <f t="shared" ca="1" si="51"/>
        <v>0</v>
      </c>
      <c r="AE12" s="551">
        <f t="shared" ca="1" si="51"/>
        <v>0</v>
      </c>
      <c r="AF12" s="551">
        <f t="shared" ca="1" si="51"/>
        <v>0</v>
      </c>
      <c r="AG12" s="551">
        <f t="shared" ca="1" si="51"/>
        <v>0</v>
      </c>
      <c r="AH12" s="551">
        <f t="shared" ca="1" si="51"/>
        <v>0</v>
      </c>
      <c r="AI12" s="551">
        <f t="shared" ca="1" si="51"/>
        <v>0</v>
      </c>
      <c r="AJ12" s="551">
        <f t="shared" ca="1" si="51"/>
        <v>0</v>
      </c>
      <c r="AK12" s="551">
        <f t="shared" ca="1" si="51"/>
        <v>-4629.8779965542299</v>
      </c>
      <c r="AL12" s="551">
        <f t="shared" ca="1" si="51"/>
        <v>-4463.2113298875629</v>
      </c>
      <c r="AM12" s="551">
        <f t="shared" ca="1" si="51"/>
        <v>0</v>
      </c>
      <c r="AN12" s="551">
        <f t="shared" ca="1" si="51"/>
        <v>0</v>
      </c>
      <c r="AO12" s="551">
        <f t="shared" ca="1" si="51"/>
        <v>0</v>
      </c>
      <c r="AP12" s="551">
        <f t="shared" ca="1" si="51"/>
        <v>0</v>
      </c>
      <c r="AQ12" s="551">
        <f t="shared" ca="1" si="51"/>
        <v>0</v>
      </c>
      <c r="AR12" s="551">
        <f t="shared" ca="1" si="51"/>
        <v>0</v>
      </c>
      <c r="AS12" s="551">
        <f t="shared" ca="1" si="51"/>
        <v>0</v>
      </c>
      <c r="AT12" s="551">
        <f t="shared" ca="1" si="51"/>
        <v>0</v>
      </c>
      <c r="AU12" s="551">
        <f t="shared" ca="1" si="51"/>
        <v>0</v>
      </c>
    </row>
    <row r="13" spans="2:47" ht="15.75" customHeight="1">
      <c r="B13" s="253" t="s">
        <v>216</v>
      </c>
      <c r="C13" s="482">
        <v>0</v>
      </c>
      <c r="D13" s="482">
        <f t="shared" ref="D13:F13" ca="1" si="52">IF(D9&gt;0, IF(D9&lt;-D11,D9,-D11),0)</f>
        <v>1556.2749333333334</v>
      </c>
      <c r="E13" s="482">
        <f t="shared" ca="1" si="52"/>
        <v>1556.2749333333334</v>
      </c>
      <c r="F13" s="551">
        <f t="shared" ca="1" si="52"/>
        <v>1556.2749333333334</v>
      </c>
      <c r="G13" s="12"/>
      <c r="H13" s="557">
        <f t="shared" ca="1" si="46"/>
        <v>4668.8248000000003</v>
      </c>
      <c r="I13" s="482">
        <f t="shared" ref="I13:L13" ca="1" si="53">IF(I9&gt;0, IF(I9&lt;-I11,I9,-I11),0)</f>
        <v>1525.8419245333362</v>
      </c>
      <c r="J13" s="482">
        <f t="shared" ca="1" si="53"/>
        <v>1896.6483915469353</v>
      </c>
      <c r="K13" s="482">
        <f t="shared" ca="1" si="53"/>
        <v>2286.3335467432162</v>
      </c>
      <c r="L13" s="551">
        <f t="shared" ca="1" si="53"/>
        <v>2516.076403843178</v>
      </c>
      <c r="M13" s="551">
        <f t="shared" ref="M13:N13" ca="1" si="54">IF(M9&gt;0, IF(M9&lt;-M11,M9,-M11),0)</f>
        <v>0</v>
      </c>
      <c r="N13" s="551">
        <f t="shared" ca="1" si="54"/>
        <v>0</v>
      </c>
      <c r="O13" s="551">
        <f t="shared" ref="O13:Q13" ca="1" si="55">IF(O9&gt;0, IF(O9&lt;-O11,O9,-O11),0)</f>
        <v>0</v>
      </c>
      <c r="P13" s="551">
        <f t="shared" ca="1" si="55"/>
        <v>0</v>
      </c>
      <c r="Q13" s="551">
        <f t="shared" ca="1" si="55"/>
        <v>0</v>
      </c>
      <c r="R13" s="551">
        <f t="shared" ref="R13:U13" ca="1" si="56">IF(R9&gt;0, IF(R9&lt;-R11,R9,-R11),0)</f>
        <v>5013.1271326396363</v>
      </c>
      <c r="S13" s="551">
        <f t="shared" ca="1" si="56"/>
        <v>4529.141965877172</v>
      </c>
      <c r="T13" s="551">
        <f t="shared" ca="1" si="56"/>
        <v>0</v>
      </c>
      <c r="U13" s="551">
        <f t="shared" ca="1" si="56"/>
        <v>0</v>
      </c>
      <c r="V13" s="551">
        <f t="shared" ref="V13:AU13" ca="1" si="57">IF(V9&gt;0, IF(V9&lt;-V11,V9,-V11),0)</f>
        <v>0</v>
      </c>
      <c r="W13" s="551">
        <f t="shared" ca="1" si="57"/>
        <v>0</v>
      </c>
      <c r="X13" s="551">
        <f t="shared" ca="1" si="57"/>
        <v>0</v>
      </c>
      <c r="Y13" s="551">
        <f t="shared" ca="1" si="57"/>
        <v>0</v>
      </c>
      <c r="Z13" s="551">
        <f t="shared" ca="1" si="57"/>
        <v>0</v>
      </c>
      <c r="AA13" s="551">
        <f t="shared" ca="1" si="57"/>
        <v>0</v>
      </c>
      <c r="AB13" s="551">
        <f t="shared" ca="1" si="57"/>
        <v>9739.3281823249345</v>
      </c>
      <c r="AC13" s="551">
        <f t="shared" ca="1" si="57"/>
        <v>0</v>
      </c>
      <c r="AD13" s="551">
        <f t="shared" ca="1" si="57"/>
        <v>0</v>
      </c>
      <c r="AE13" s="551">
        <f t="shared" ca="1" si="57"/>
        <v>0</v>
      </c>
      <c r="AF13" s="551">
        <f t="shared" ca="1" si="57"/>
        <v>0</v>
      </c>
      <c r="AG13" s="551">
        <f t="shared" ca="1" si="57"/>
        <v>0</v>
      </c>
      <c r="AH13" s="551">
        <f t="shared" ca="1" si="57"/>
        <v>0</v>
      </c>
      <c r="AI13" s="551">
        <f t="shared" ca="1" si="57"/>
        <v>0</v>
      </c>
      <c r="AJ13" s="551">
        <f t="shared" ca="1" si="57"/>
        <v>0</v>
      </c>
      <c r="AK13" s="551">
        <f t="shared" ca="1" si="57"/>
        <v>0</v>
      </c>
      <c r="AL13" s="551">
        <f t="shared" ca="1" si="57"/>
        <v>0</v>
      </c>
      <c r="AM13" s="551">
        <f t="shared" ca="1" si="57"/>
        <v>9093.0893264417937</v>
      </c>
      <c r="AN13" s="551">
        <f t="shared" ca="1" si="57"/>
        <v>0</v>
      </c>
      <c r="AO13" s="551">
        <f t="shared" ca="1" si="57"/>
        <v>0</v>
      </c>
      <c r="AP13" s="551">
        <f t="shared" ca="1" si="57"/>
        <v>0</v>
      </c>
      <c r="AQ13" s="551">
        <f t="shared" ca="1" si="57"/>
        <v>0</v>
      </c>
      <c r="AR13" s="551">
        <f t="shared" ca="1" si="57"/>
        <v>0</v>
      </c>
      <c r="AS13" s="551">
        <f t="shared" ca="1" si="57"/>
        <v>0</v>
      </c>
      <c r="AT13" s="551">
        <f t="shared" ca="1" si="57"/>
        <v>0</v>
      </c>
      <c r="AU13" s="551">
        <f t="shared" ca="1" si="57"/>
        <v>0</v>
      </c>
    </row>
    <row r="14" spans="2:47" ht="15.75" customHeight="1">
      <c r="B14" s="253" t="s">
        <v>217</v>
      </c>
      <c r="C14" s="552">
        <f t="shared" ref="C14:F14" ca="1" si="58">SUM(C11:C13)</f>
        <v>-12893.725066666666</v>
      </c>
      <c r="D14" s="552">
        <f t="shared" ca="1" si="58"/>
        <v>-11337.450133333332</v>
      </c>
      <c r="E14" s="552">
        <f t="shared" ca="1" si="58"/>
        <v>-9781.1751999999979</v>
      </c>
      <c r="F14" s="553">
        <f t="shared" ca="1" si="58"/>
        <v>-8224.9002666666638</v>
      </c>
      <c r="G14" s="12"/>
      <c r="H14" s="558">
        <f t="shared" ref="H14:L14" ca="1" si="59">SUM(H11:H13)</f>
        <v>-8224.9002666666656</v>
      </c>
      <c r="I14" s="552">
        <f t="shared" ca="1" si="59"/>
        <v>-6699.0583421333295</v>
      </c>
      <c r="J14" s="552">
        <f t="shared" ca="1" si="59"/>
        <v>-4802.4099505863942</v>
      </c>
      <c r="K14" s="552">
        <f t="shared" ca="1" si="59"/>
        <v>-2516.076403843178</v>
      </c>
      <c r="L14" s="553">
        <f t="shared" ca="1" si="59"/>
        <v>0</v>
      </c>
      <c r="M14" s="553">
        <f t="shared" ref="M14:Q14" ca="1" si="60">SUM(M11:M13)</f>
        <v>0</v>
      </c>
      <c r="N14" s="553">
        <f t="shared" ca="1" si="60"/>
        <v>0</v>
      </c>
      <c r="O14" s="553">
        <f t="shared" ca="1" si="60"/>
        <v>0</v>
      </c>
      <c r="P14" s="553">
        <f t="shared" ca="1" si="60"/>
        <v>0</v>
      </c>
      <c r="Q14" s="553">
        <f t="shared" ca="1" si="60"/>
        <v>-9542.2690985168083</v>
      </c>
      <c r="R14" s="553">
        <f t="shared" ref="R14:U14" ca="1" si="61">SUM(R11:R13)</f>
        <v>-4529.141965877172</v>
      </c>
      <c r="S14" s="553">
        <f t="shared" ca="1" si="61"/>
        <v>0</v>
      </c>
      <c r="T14" s="553">
        <f t="shared" ca="1" si="61"/>
        <v>0</v>
      </c>
      <c r="U14" s="553">
        <f t="shared" ca="1" si="61"/>
        <v>0</v>
      </c>
      <c r="V14" s="553">
        <f t="shared" ref="V14:AU14" ca="1" si="62">SUM(V11:V13)</f>
        <v>0</v>
      </c>
      <c r="W14" s="553">
        <f t="shared" ca="1" si="62"/>
        <v>0</v>
      </c>
      <c r="X14" s="553">
        <f t="shared" ca="1" si="62"/>
        <v>0</v>
      </c>
      <c r="Y14" s="553">
        <f t="shared" ca="1" si="62"/>
        <v>0</v>
      </c>
      <c r="Z14" s="553">
        <f t="shared" ca="1" si="62"/>
        <v>0</v>
      </c>
      <c r="AA14" s="553">
        <f t="shared" ca="1" si="62"/>
        <v>-9739.3281823249345</v>
      </c>
      <c r="AB14" s="553">
        <f t="shared" ca="1" si="62"/>
        <v>0</v>
      </c>
      <c r="AC14" s="553">
        <f t="shared" ca="1" si="62"/>
        <v>0</v>
      </c>
      <c r="AD14" s="553">
        <f t="shared" ca="1" si="62"/>
        <v>0</v>
      </c>
      <c r="AE14" s="553">
        <f t="shared" ca="1" si="62"/>
        <v>0</v>
      </c>
      <c r="AF14" s="553">
        <f t="shared" ca="1" si="62"/>
        <v>0</v>
      </c>
      <c r="AG14" s="553">
        <f t="shared" ca="1" si="62"/>
        <v>0</v>
      </c>
      <c r="AH14" s="553">
        <f t="shared" ca="1" si="62"/>
        <v>0</v>
      </c>
      <c r="AI14" s="553">
        <f t="shared" ca="1" si="62"/>
        <v>0</v>
      </c>
      <c r="AJ14" s="553">
        <f t="shared" ca="1" si="62"/>
        <v>0</v>
      </c>
      <c r="AK14" s="553">
        <f t="shared" ca="1" si="62"/>
        <v>-4629.8779965542299</v>
      </c>
      <c r="AL14" s="553">
        <f t="shared" ca="1" si="62"/>
        <v>-9093.0893264417937</v>
      </c>
      <c r="AM14" s="553">
        <f t="shared" ca="1" si="62"/>
        <v>0</v>
      </c>
      <c r="AN14" s="553">
        <f t="shared" ca="1" si="62"/>
        <v>0</v>
      </c>
      <c r="AO14" s="553">
        <f t="shared" ca="1" si="62"/>
        <v>0</v>
      </c>
      <c r="AP14" s="553">
        <f t="shared" ca="1" si="62"/>
        <v>0</v>
      </c>
      <c r="AQ14" s="553">
        <f t="shared" ca="1" si="62"/>
        <v>0</v>
      </c>
      <c r="AR14" s="553">
        <f t="shared" ca="1" si="62"/>
        <v>0</v>
      </c>
      <c r="AS14" s="553">
        <f t="shared" ca="1" si="62"/>
        <v>0</v>
      </c>
      <c r="AT14" s="553">
        <f t="shared" ca="1" si="62"/>
        <v>0</v>
      </c>
      <c r="AU14" s="553">
        <f t="shared" ca="1" si="62"/>
        <v>0</v>
      </c>
    </row>
    <row r="15" spans="2:47" ht="15.75" customHeight="1">
      <c r="B15" s="466"/>
      <c r="C15" s="482"/>
      <c r="D15" s="482"/>
      <c r="E15" s="482"/>
      <c r="F15" s="551"/>
      <c r="G15" s="12"/>
      <c r="H15" s="557"/>
      <c r="I15" s="482"/>
      <c r="J15" s="482"/>
      <c r="K15" s="482"/>
      <c r="L15" s="551"/>
      <c r="M15" s="551"/>
      <c r="N15" s="551"/>
      <c r="O15" s="551"/>
      <c r="P15" s="551"/>
      <c r="Q15" s="551"/>
      <c r="R15" s="551"/>
      <c r="S15" s="551"/>
      <c r="T15" s="551"/>
      <c r="U15" s="551"/>
      <c r="V15" s="551"/>
      <c r="W15" s="551"/>
      <c r="X15" s="551"/>
      <c r="Y15" s="551"/>
      <c r="Z15" s="551"/>
      <c r="AA15" s="551"/>
      <c r="AB15" s="551"/>
      <c r="AC15" s="551"/>
      <c r="AD15" s="551"/>
      <c r="AE15" s="551"/>
      <c r="AF15" s="551"/>
      <c r="AG15" s="551"/>
      <c r="AH15" s="551"/>
      <c r="AI15" s="551"/>
      <c r="AJ15" s="551"/>
      <c r="AK15" s="551"/>
      <c r="AL15" s="551"/>
      <c r="AM15" s="551"/>
      <c r="AN15" s="551"/>
      <c r="AO15" s="551"/>
      <c r="AP15" s="551"/>
      <c r="AQ15" s="551"/>
      <c r="AR15" s="551"/>
      <c r="AS15" s="551"/>
      <c r="AT15" s="551"/>
      <c r="AU15" s="551"/>
    </row>
    <row r="16" spans="2:47" ht="15.75" customHeight="1">
      <c r="B16" s="253" t="s">
        <v>328</v>
      </c>
      <c r="C16" s="552">
        <f t="shared" ref="C16:F16" ca="1" si="63">IF(C9-C13&gt;0,C9-C13,0 )</f>
        <v>0</v>
      </c>
      <c r="D16" s="552">
        <f t="shared" ca="1" si="63"/>
        <v>0</v>
      </c>
      <c r="E16" s="552">
        <f t="shared" ca="1" si="63"/>
        <v>0</v>
      </c>
      <c r="F16" s="553">
        <f t="shared" ca="1" si="63"/>
        <v>0</v>
      </c>
      <c r="G16" s="12"/>
      <c r="H16" s="558">
        <f ca="1">IF(H9+H13&gt;0,H9+H13,0 )</f>
        <v>0</v>
      </c>
      <c r="I16" s="552">
        <f t="shared" ref="I16:L16" ca="1" si="64">IF(I9-I13&gt;0,I9-I13,0 )</f>
        <v>0</v>
      </c>
      <c r="J16" s="552">
        <f t="shared" ca="1" si="64"/>
        <v>0</v>
      </c>
      <c r="K16" s="552">
        <f t="shared" ca="1" si="64"/>
        <v>0</v>
      </c>
      <c r="L16" s="553">
        <f t="shared" ca="1" si="64"/>
        <v>179.60581326911779</v>
      </c>
      <c r="M16" s="553">
        <f t="shared" ref="M16:N16" ca="1" si="65">IF(M9-M13&gt;0,M9-M13,0 )</f>
        <v>3124.485171888703</v>
      </c>
      <c r="N16" s="553">
        <f t="shared" ca="1" si="65"/>
        <v>3557.7949209352755</v>
      </c>
      <c r="O16" s="553">
        <f t="shared" ref="O16:Q16" ca="1" si="66">IF(O9-O13&gt;0,O9-O13,0 )</f>
        <v>4010.3000569381657</v>
      </c>
      <c r="P16" s="553">
        <f t="shared" ca="1" si="66"/>
        <v>4482.7111543517431</v>
      </c>
      <c r="Q16" s="553">
        <f t="shared" ca="1" si="66"/>
        <v>0</v>
      </c>
      <c r="R16" s="553">
        <f t="shared" ref="R16:U16" ca="1" si="67">IF(R9-R13&gt;0,R9-R13,0 )</f>
        <v>0</v>
      </c>
      <c r="S16" s="553">
        <f t="shared" ca="1" si="67"/>
        <v>884.61725950728305</v>
      </c>
      <c r="T16" s="553">
        <f t="shared" ca="1" si="67"/>
        <v>5823.4262510435501</v>
      </c>
      <c r="U16" s="553">
        <f t="shared" ca="1" si="67"/>
        <v>6219.2412104891491</v>
      </c>
      <c r="V16" s="553">
        <f t="shared" ref="V16:AU16" ca="1" si="68">IF(V9-V13&gt;0,V9-V13,0 )</f>
        <v>6626.6298651961652</v>
      </c>
      <c r="W16" s="553">
        <f t="shared" ca="1" si="68"/>
        <v>7045.8149001189822</v>
      </c>
      <c r="X16" s="553">
        <f t="shared" ca="1" si="68"/>
        <v>7477.0193638942592</v>
      </c>
      <c r="Y16" s="553">
        <f t="shared" ca="1" si="68"/>
        <v>7920.4664338868433</v>
      </c>
      <c r="Z16" s="553">
        <f t="shared" ca="1" si="68"/>
        <v>8376.3791656208523</v>
      </c>
      <c r="AA16" s="553">
        <f t="shared" ca="1" si="68"/>
        <v>0</v>
      </c>
      <c r="AB16" s="553">
        <f t="shared" ca="1" si="68"/>
        <v>1077.5797271691445</v>
      </c>
      <c r="AC16" s="553">
        <f t="shared" ca="1" si="68"/>
        <v>11651.688445378721</v>
      </c>
      <c r="AD16" s="553">
        <f t="shared" ca="1" si="68"/>
        <v>12464.385331853882</v>
      </c>
      <c r="AE16" s="553">
        <f t="shared" ca="1" si="68"/>
        <v>13310.34631979906</v>
      </c>
      <c r="AF16" s="553">
        <f t="shared" ca="1" si="68"/>
        <v>14190.760359337717</v>
      </c>
      <c r="AG16" s="553">
        <f t="shared" ca="1" si="68"/>
        <v>15111.874364729949</v>
      </c>
      <c r="AH16" s="553">
        <f t="shared" ca="1" si="68"/>
        <v>16065.042984125859</v>
      </c>
      <c r="AI16" s="553">
        <f t="shared" ca="1" si="68"/>
        <v>17056.477187449054</v>
      </c>
      <c r="AJ16" s="553">
        <f t="shared" ca="1" si="68"/>
        <v>18087.532153421569</v>
      </c>
      <c r="AK16" s="553">
        <f t="shared" ca="1" si="68"/>
        <v>0</v>
      </c>
      <c r="AL16" s="553">
        <f t="shared" ca="1" si="68"/>
        <v>0</v>
      </c>
      <c r="AM16" s="553">
        <f t="shared" ca="1" si="68"/>
        <v>11999.186476781626</v>
      </c>
      <c r="AN16" s="553">
        <f t="shared" ca="1" si="68"/>
        <v>22334.844682468949</v>
      </c>
      <c r="AO16" s="553">
        <f t="shared" ca="1" si="68"/>
        <v>23573.61933565437</v>
      </c>
      <c r="AP16" s="553">
        <f t="shared" ca="1" si="68"/>
        <v>24860.840558914235</v>
      </c>
      <c r="AQ16" s="553">
        <f t="shared" ca="1" si="68"/>
        <v>26198.202127690296</v>
      </c>
      <c r="AR16" s="553">
        <f t="shared" ca="1" si="68"/>
        <v>27587.453510886124</v>
      </c>
      <c r="AS16" s="553">
        <f t="shared" ca="1" si="68"/>
        <v>29030.401632991714</v>
      </c>
      <c r="AT16" s="553">
        <f t="shared" ca="1" si="68"/>
        <v>30528.912690518318</v>
      </c>
      <c r="AU16" s="553">
        <f t="shared" ca="1" si="68"/>
        <v>1632.3607353293773</v>
      </c>
    </row>
    <row r="17" spans="2:47" ht="15.75" customHeight="1" thickBot="1">
      <c r="B17" s="211" t="str">
        <f>"Tax @ "&amp;'General Dashboard'!$G$5*100&amp;"%"</f>
        <v>Tax @ 19%</v>
      </c>
      <c r="C17" s="554">
        <f ca="1">-C16*'General Dashboard'!$G$5</f>
        <v>0</v>
      </c>
      <c r="D17" s="554">
        <f ca="1">-D16*'General Dashboard'!$G$5</f>
        <v>0</v>
      </c>
      <c r="E17" s="554">
        <f ca="1">-E16*'General Dashboard'!$G$5</f>
        <v>0</v>
      </c>
      <c r="F17" s="555">
        <f ca="1">-F16*'General Dashboard'!$G$5</f>
        <v>0</v>
      </c>
      <c r="G17" s="12"/>
      <c r="H17" s="559">
        <f ca="1">-H16*'General Dashboard'!$G$5</f>
        <v>0</v>
      </c>
      <c r="I17" s="554">
        <f ca="1">-I16*'General Dashboard'!$G$5</f>
        <v>0</v>
      </c>
      <c r="J17" s="554">
        <f ca="1">-J16*'General Dashboard'!$G$5</f>
        <v>0</v>
      </c>
      <c r="K17" s="554">
        <f ca="1">-K16*'General Dashboard'!$G$5</f>
        <v>0</v>
      </c>
      <c r="L17" s="555">
        <f ca="1">-L16*'General Dashboard'!$G$5</f>
        <v>-34.125104521132378</v>
      </c>
      <c r="M17" s="555">
        <f ca="1">-M16*'General Dashboard'!$G$5</f>
        <v>-593.65218265885358</v>
      </c>
      <c r="N17" s="555">
        <f ca="1">-N16*'General Dashboard'!$G$5</f>
        <v>-675.98103497770239</v>
      </c>
      <c r="O17" s="555">
        <f ca="1">-O16*'General Dashboard'!$G$5</f>
        <v>-761.95701081825143</v>
      </c>
      <c r="P17" s="555">
        <f ca="1">-P16*'General Dashboard'!$G$5</f>
        <v>-851.7151193268312</v>
      </c>
      <c r="Q17" s="555">
        <f ca="1">-Q16*'General Dashboard'!$G$5</f>
        <v>0</v>
      </c>
      <c r="R17" s="555">
        <f ca="1">-R16*'General Dashboard'!$G$5</f>
        <v>0</v>
      </c>
      <c r="S17" s="555">
        <f ca="1">-S16*'General Dashboard'!$G$5</f>
        <v>-168.07727930638379</v>
      </c>
      <c r="T17" s="555">
        <f ca="1">-T16*'General Dashboard'!$G$5</f>
        <v>-1106.4509876982745</v>
      </c>
      <c r="U17" s="555">
        <f ca="1">-U16*'General Dashboard'!$G$5</f>
        <v>-1181.6558299929384</v>
      </c>
      <c r="V17" s="555">
        <f ca="1">-V16*'General Dashboard'!$G$5</f>
        <v>-1259.0596743872713</v>
      </c>
      <c r="W17" s="555">
        <f ca="1">-W16*'General Dashboard'!$G$5</f>
        <v>-1338.7048310226066</v>
      </c>
      <c r="X17" s="555">
        <f ca="1">-X16*'General Dashboard'!$G$5</f>
        <v>-1420.6336791399092</v>
      </c>
      <c r="Y17" s="555">
        <f ca="1">-Y16*'General Dashboard'!$G$5</f>
        <v>-1504.8886224385003</v>
      </c>
      <c r="Z17" s="555">
        <f ca="1">-Z16*'General Dashboard'!$G$5</f>
        <v>-1591.512041467962</v>
      </c>
      <c r="AA17" s="555">
        <f ca="1">-AA16*'General Dashboard'!$G$5</f>
        <v>0</v>
      </c>
      <c r="AB17" s="555">
        <f ca="1">-AB16*'General Dashboard'!$G$5</f>
        <v>-204.74014816213744</v>
      </c>
      <c r="AC17" s="555">
        <f ca="1">-AC16*'General Dashboard'!$G$5</f>
        <v>-2213.820804621957</v>
      </c>
      <c r="AD17" s="555">
        <f ca="1">-AD16*'General Dashboard'!$G$5</f>
        <v>-2368.2332130522377</v>
      </c>
      <c r="AE17" s="555">
        <f ca="1">-AE16*'General Dashboard'!$G$5</f>
        <v>-2528.9658007618214</v>
      </c>
      <c r="AF17" s="555">
        <f ca="1">-AF16*'General Dashboard'!$G$5</f>
        <v>-2696.2444682741661</v>
      </c>
      <c r="AG17" s="555">
        <f ca="1">-AG16*'General Dashboard'!$G$5</f>
        <v>-2871.2561292986902</v>
      </c>
      <c r="AH17" s="555">
        <f ca="1">-AH16*'General Dashboard'!$G$5</f>
        <v>-3052.3581669839132</v>
      </c>
      <c r="AI17" s="555">
        <f ca="1">-AI16*'General Dashboard'!$G$5</f>
        <v>-3240.7306656153205</v>
      </c>
      <c r="AJ17" s="555">
        <f ca="1">-AJ16*'General Dashboard'!$G$5</f>
        <v>-3436.6311091500984</v>
      </c>
      <c r="AK17" s="555">
        <f ca="1">-AK16*'General Dashboard'!$G$5</f>
        <v>0</v>
      </c>
      <c r="AL17" s="555">
        <f ca="1">-AL16*'General Dashboard'!$G$5</f>
        <v>0</v>
      </c>
      <c r="AM17" s="555">
        <f ca="1">-AM16*'General Dashboard'!$G$5</f>
        <v>-2279.8454305885089</v>
      </c>
      <c r="AN17" s="555">
        <f ca="1">-AN16*'General Dashboard'!$G$5</f>
        <v>-4243.6204896691006</v>
      </c>
      <c r="AO17" s="555">
        <f ca="1">-AO16*'General Dashboard'!$G$5</f>
        <v>-4478.9876737743307</v>
      </c>
      <c r="AP17" s="555">
        <f ca="1">-AP16*'General Dashboard'!$G$5</f>
        <v>-4723.5597061937051</v>
      </c>
      <c r="AQ17" s="555">
        <f ca="1">-AQ16*'General Dashboard'!$G$5</f>
        <v>-4977.6584042611566</v>
      </c>
      <c r="AR17" s="555">
        <f ca="1">-AR16*'General Dashboard'!$G$5</f>
        <v>-5241.6161670683632</v>
      </c>
      <c r="AS17" s="555">
        <f ca="1">-AS16*'General Dashboard'!$G$5</f>
        <v>-5515.7763102684257</v>
      </c>
      <c r="AT17" s="555">
        <f ca="1">-AT16*'General Dashboard'!$G$5</f>
        <v>-5800.4934111984803</v>
      </c>
      <c r="AU17" s="555">
        <f ca="1">-AU16*'General Dashboard'!$G$5</f>
        <v>-310.14853971258168</v>
      </c>
    </row>
    <row r="18" spans="2:47" ht="15.75" customHeight="1">
      <c r="B18" s="477"/>
      <c r="C18" s="482"/>
      <c r="D18" s="482"/>
      <c r="E18" s="482"/>
      <c r="F18" s="482"/>
      <c r="G18" s="12"/>
      <c r="H18" s="482"/>
      <c r="I18" s="482"/>
      <c r="J18" s="482"/>
      <c r="K18" s="482"/>
      <c r="L18" s="482"/>
      <c r="M18" s="482"/>
    </row>
    <row r="19" spans="2:47" ht="15.75" customHeight="1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47" ht="15.75" customHeight="1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47" ht="15.75" customHeight="1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47" ht="15.75" customHeight="1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47" ht="15.75" customHeight="1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2:47" ht="15.75" customHeight="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47" ht="15.75" customHeight="1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47" ht="15.75" customHeight="1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47" ht="15.75" customHeight="1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2:47" ht="15.75" customHeight="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General Dashboard</vt:lpstr>
      <vt:lpstr>Start Up Costs</vt:lpstr>
      <vt:lpstr>Financial Model</vt:lpstr>
      <vt:lpstr>Summary</vt:lpstr>
      <vt:lpstr>Weekly Overheads</vt:lpstr>
      <vt:lpstr>Community Shares</vt:lpstr>
      <vt:lpstr>P&amp;L</vt:lpstr>
      <vt:lpstr>Cash Flow</vt:lpstr>
      <vt:lpstr>Balance Sheet</vt:lpstr>
      <vt:lpstr>Land Transaction Tax Rates</vt:lpstr>
      <vt:lpstr>Mortgage</vt:lpstr>
      <vt:lpstr>Tax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Lo</dc:creator>
  <cp:lastModifiedBy>Richard Lo</cp:lastModifiedBy>
  <cp:lastPrinted>2025-04-20T17:05:20Z</cp:lastPrinted>
  <dcterms:created xsi:type="dcterms:W3CDTF">2026-02-02T00:04:37Z</dcterms:created>
  <dcterms:modified xsi:type="dcterms:W3CDTF">2026-06-09T21:49:55Z</dcterms:modified>
</cp:coreProperties>
</file>