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15" windowWidth="28860" windowHeight="12135" tabRatio="826" activeTab="2"/>
  </bookViews>
  <sheets>
    <sheet name="General Dashboard" sheetId="1" r:id="rId1"/>
    <sheet name="Start Up Costs" sheetId="6" r:id="rId2"/>
    <sheet name="Financial Model" sheetId="11" r:id="rId3"/>
    <sheet name="Summary" sheetId="12" r:id="rId4"/>
    <sheet name="Weekly Overheads" sheetId="5" r:id="rId5"/>
    <sheet name="Community Shares" sheetId="8" r:id="rId6"/>
    <sheet name="P&amp;L" sheetId="2" r:id="rId7"/>
    <sheet name="Cash Flow" sheetId="3" r:id="rId8"/>
    <sheet name="Balance Sheet" sheetId="4" r:id="rId9"/>
    <sheet name="Land Transaction Tax Rates" sheetId="7" r:id="rId10"/>
    <sheet name="Mortgage" sheetId="9" r:id="rId11"/>
    <sheet name="Tax" sheetId="10" r:id="rId12"/>
  </sheets>
  <externalReferences>
    <externalReference r:id="rId13"/>
  </externalReferenc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6"/>
  <c r="C5"/>
  <c r="D15"/>
  <c r="D14"/>
  <c r="U77" i="12" l="1"/>
  <c r="V77"/>
  <c r="W77"/>
  <c r="X77"/>
  <c r="U71"/>
  <c r="V71"/>
  <c r="W71"/>
  <c r="X71"/>
  <c r="U70"/>
  <c r="V70"/>
  <c r="V72" s="1"/>
  <c r="W70"/>
  <c r="W72" s="1"/>
  <c r="X70"/>
  <c r="T66"/>
  <c r="X72" l="1"/>
  <c r="U72"/>
  <c r="N43" l="1"/>
  <c r="O43"/>
  <c r="P43"/>
  <c r="Q43"/>
  <c r="N42"/>
  <c r="N44" s="1"/>
  <c r="O42"/>
  <c r="P42"/>
  <c r="P44" s="1"/>
  <c r="Q42"/>
  <c r="Q44" s="1"/>
  <c r="L21"/>
  <c r="L22"/>
  <c r="L23"/>
  <c r="L25"/>
  <c r="L27"/>
  <c r="L32"/>
  <c r="L34"/>
  <c r="L36"/>
  <c r="L37"/>
  <c r="L38"/>
  <c r="L39"/>
  <c r="L41"/>
  <c r="L42"/>
  <c r="L43"/>
  <c r="L44"/>
  <c r="L46"/>
  <c r="L47"/>
  <c r="L48"/>
  <c r="L50"/>
  <c r="L53"/>
  <c r="L55"/>
  <c r="M43"/>
  <c r="O44" l="1"/>
  <c r="E4"/>
  <c r="B7" l="1"/>
  <c r="W23" i="11" l="1"/>
  <c r="AD21"/>
  <c r="X21"/>
  <c r="Y21"/>
  <c r="D7"/>
  <c r="B31" i="3"/>
  <c r="I32"/>
  <c r="J32"/>
  <c r="K32"/>
  <c r="L32"/>
  <c r="H30"/>
  <c r="AR40" i="2"/>
  <c r="AS40"/>
  <c r="AT40"/>
  <c r="AU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M40"/>
  <c r="N3" i="10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AG3" s="1"/>
  <c r="AH3" s="1"/>
  <c r="AI3" s="1"/>
  <c r="AJ3" s="1"/>
  <c r="AK3" s="1"/>
  <c r="AL3" s="1"/>
  <c r="AM3" s="1"/>
  <c r="AN3" s="1"/>
  <c r="AO3" s="1"/>
  <c r="AP3" s="1"/>
  <c r="AQ3" s="1"/>
  <c r="AR3" s="1"/>
  <c r="AS3" s="1"/>
  <c r="AT3" s="1"/>
  <c r="AU3" s="1"/>
  <c r="B13" i="2"/>
  <c r="C13"/>
  <c r="D13"/>
  <c r="E13"/>
  <c r="F13"/>
  <c r="B14"/>
  <c r="C14"/>
  <c r="D14"/>
  <c r="E14"/>
  <c r="F14"/>
  <c r="N21" i="11"/>
  <c r="L18" i="6"/>
  <c r="H23" i="2" l="1"/>
  <c r="B40"/>
  <c r="L54" i="12" s="1"/>
  <c r="B38" i="2"/>
  <c r="L52" i="12" s="1"/>
  <c r="B37" i="2"/>
  <c r="L51" i="12" s="1"/>
  <c r="C23" i="2" l="1"/>
  <c r="D23" s="1"/>
  <c r="E23" s="1"/>
  <c r="F23" s="1"/>
  <c r="M37" i="12"/>
  <c r="M39" s="1"/>
  <c r="H25" i="2"/>
  <c r="B15" i="4"/>
  <c r="B14"/>
  <c r="B13"/>
  <c r="B12"/>
  <c r="B11"/>
  <c r="B8"/>
  <c r="B5"/>
  <c r="B22" i="11" l="1"/>
  <c r="B2" i="12"/>
  <c r="H29" i="2"/>
  <c r="C29" s="1"/>
  <c r="E10" i="6"/>
  <c r="I7" i="11"/>
  <c r="I4"/>
  <c r="AQ21" s="1"/>
  <c r="W21"/>
  <c r="I6"/>
  <c r="B17" i="10"/>
  <c r="M21" i="11" l="1"/>
  <c r="AN21"/>
  <c r="M23" l="1"/>
  <c r="E9" i="12" s="1"/>
  <c r="AD23" i="11"/>
  <c r="O50" i="7"/>
  <c r="L50"/>
  <c r="O48"/>
  <c r="L48"/>
  <c r="O46"/>
  <c r="L46"/>
  <c r="O44"/>
  <c r="L44"/>
  <c r="O42"/>
  <c r="O29"/>
  <c r="L29"/>
  <c r="O27"/>
  <c r="L27"/>
  <c r="O25"/>
  <c r="L25"/>
  <c r="O23"/>
  <c r="L23"/>
  <c r="O21"/>
  <c r="E8" i="11" l="1"/>
  <c r="D9" s="1"/>
  <c r="C23" s="1"/>
  <c r="AC23"/>
  <c r="AY24"/>
  <c r="AY25" s="1"/>
  <c r="AY26" s="1"/>
  <c r="AY27" s="1"/>
  <c r="AY28" s="1"/>
  <c r="AY29" s="1"/>
  <c r="AY30" s="1"/>
  <c r="AY31" s="1"/>
  <c r="AY32" s="1"/>
  <c r="AY33" s="1"/>
  <c r="AY34" s="1"/>
  <c r="AY35" s="1"/>
  <c r="AY36" s="1"/>
  <c r="AY37" s="1"/>
  <c r="AY38" s="1"/>
  <c r="AY39" s="1"/>
  <c r="AY40" s="1"/>
  <c r="AY41" s="1"/>
  <c r="AY42" s="1"/>
  <c r="AY43" s="1"/>
  <c r="AY44" s="1"/>
  <c r="AY45" s="1"/>
  <c r="AY46" s="1"/>
  <c r="AY47" s="1"/>
  <c r="AY48" s="1"/>
  <c r="AY49" s="1"/>
  <c r="AY50" s="1"/>
  <c r="AY51" s="1"/>
  <c r="AY52" s="1"/>
  <c r="AY53" s="1"/>
  <c r="AY54" s="1"/>
  <c r="AY55" s="1"/>
  <c r="AY56" s="1"/>
  <c r="AY57" s="1"/>
  <c r="AY58" s="1"/>
  <c r="AY59" s="1"/>
  <c r="AY60" s="1"/>
  <c r="AY61" s="1"/>
  <c r="AY62" s="1"/>
  <c r="A24"/>
  <c r="AE24" s="1"/>
  <c r="AE23"/>
  <c r="D23"/>
  <c r="AQ23"/>
  <c r="AP21"/>
  <c r="AN23"/>
  <c r="AM21"/>
  <c r="L21"/>
  <c r="H21"/>
  <c r="V21"/>
  <c r="F21"/>
  <c r="D18"/>
  <c r="AF21" s="1"/>
  <c r="D13"/>
  <c r="I21" s="1"/>
  <c r="S2"/>
  <c r="B23" l="1"/>
  <c r="B4" i="12"/>
  <c r="AF24" i="11"/>
  <c r="F12"/>
  <c r="F11"/>
  <c r="AP23"/>
  <c r="E23"/>
  <c r="AM23"/>
  <c r="H35" i="3" s="1"/>
  <c r="F10" i="11"/>
  <c r="F9"/>
  <c r="AF23"/>
  <c r="AG23" s="1"/>
  <c r="AI23" s="1"/>
  <c r="AD24" s="1"/>
  <c r="A25"/>
  <c r="J48" i="7"/>
  <c r="G48"/>
  <c r="E48"/>
  <c r="J46"/>
  <c r="G46"/>
  <c r="E46"/>
  <c r="J44"/>
  <c r="G44"/>
  <c r="E44"/>
  <c r="J42"/>
  <c r="E42"/>
  <c r="J27"/>
  <c r="G27"/>
  <c r="E27"/>
  <c r="J25"/>
  <c r="G25"/>
  <c r="E25"/>
  <c r="J23"/>
  <c r="G23"/>
  <c r="E23"/>
  <c r="J21"/>
  <c r="E21"/>
  <c r="B14" i="6"/>
  <c r="H36" i="3" l="1"/>
  <c r="T76" i="12" s="1"/>
  <c r="E13"/>
  <c r="G23" i="11"/>
  <c r="E3" i="12"/>
  <c r="C35" i="3"/>
  <c r="D35" s="1"/>
  <c r="E35" s="1"/>
  <c r="F35" s="1"/>
  <c r="T75" i="12"/>
  <c r="AH23" i="11"/>
  <c r="F1" i="5"/>
  <c r="H5" i="2"/>
  <c r="M22" i="12" s="1"/>
  <c r="C6" i="5"/>
  <c r="AR23" i="11"/>
  <c r="AQ24" s="1"/>
  <c r="T23"/>
  <c r="AO23"/>
  <c r="S23"/>
  <c r="A26"/>
  <c r="AE25"/>
  <c r="I23"/>
  <c r="E8" i="12" s="1"/>
  <c r="V23" i="11"/>
  <c r="H7" i="10"/>
  <c r="L3"/>
  <c r="K3"/>
  <c r="J3"/>
  <c r="I3"/>
  <c r="H3"/>
  <c r="G3"/>
  <c r="F3"/>
  <c r="E3"/>
  <c r="D3"/>
  <c r="C3"/>
  <c r="C78" i="9"/>
  <c r="C72"/>
  <c r="C76" s="1"/>
  <c r="C80" s="1"/>
  <c r="C68"/>
  <c r="C67"/>
  <c r="C71" s="1"/>
  <c r="C75" s="1"/>
  <c r="C79" s="1"/>
  <c r="C66"/>
  <c r="C70" s="1"/>
  <c r="C74" s="1"/>
  <c r="E10"/>
  <c r="D10"/>
  <c r="C11" i="8"/>
  <c r="E40" i="3" s="1"/>
  <c r="O10" i="7"/>
  <c r="O8"/>
  <c r="J8"/>
  <c r="E8"/>
  <c r="O6"/>
  <c r="J6"/>
  <c r="E6"/>
  <c r="O5"/>
  <c r="N5"/>
  <c r="L5"/>
  <c r="J5"/>
  <c r="I5"/>
  <c r="G5"/>
  <c r="E5"/>
  <c r="D5"/>
  <c r="B5"/>
  <c r="L3"/>
  <c r="G3"/>
  <c r="B3"/>
  <c r="F51" i="6"/>
  <c r="F50"/>
  <c r="F49"/>
  <c r="F48"/>
  <c r="F47"/>
  <c r="F46"/>
  <c r="F45"/>
  <c r="F44"/>
  <c r="F43"/>
  <c r="F42"/>
  <c r="F41"/>
  <c r="F40"/>
  <c r="F39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H8" i="4" s="1"/>
  <c r="J9" i="6"/>
  <c r="I9"/>
  <c r="I8"/>
  <c r="I7"/>
  <c r="I6"/>
  <c r="I4"/>
  <c r="E4"/>
  <c r="H33" i="4"/>
  <c r="H32"/>
  <c r="H24"/>
  <c r="H23"/>
  <c r="L3"/>
  <c r="K3"/>
  <c r="J3"/>
  <c r="I3"/>
  <c r="H3"/>
  <c r="F3"/>
  <c r="E3"/>
  <c r="D3"/>
  <c r="C3"/>
  <c r="L2"/>
  <c r="K2"/>
  <c r="J2"/>
  <c r="I2"/>
  <c r="H2"/>
  <c r="F2"/>
  <c r="E2"/>
  <c r="D2"/>
  <c r="C2"/>
  <c r="H47" i="3"/>
  <c r="H41"/>
  <c r="H38"/>
  <c r="H37"/>
  <c r="F32"/>
  <c r="E32"/>
  <c r="D32"/>
  <c r="H9"/>
  <c r="L3"/>
  <c r="K3"/>
  <c r="J3"/>
  <c r="I3"/>
  <c r="H3"/>
  <c r="F3"/>
  <c r="E3"/>
  <c r="D3"/>
  <c r="C3"/>
  <c r="L2"/>
  <c r="K2"/>
  <c r="J2"/>
  <c r="I2"/>
  <c r="H2"/>
  <c r="F2"/>
  <c r="E2"/>
  <c r="D2"/>
  <c r="C2"/>
  <c r="L30" i="2"/>
  <c r="K30"/>
  <c r="J30"/>
  <c r="I30"/>
  <c r="F30"/>
  <c r="E30"/>
  <c r="D30"/>
  <c r="L31" i="12"/>
  <c r="B16" i="2"/>
  <c r="L30" i="12" s="1"/>
  <c r="B15" i="2"/>
  <c r="L29" i="12" s="1"/>
  <c r="B12" i="2"/>
  <c r="L28" i="12" s="1"/>
  <c r="B11" i="2"/>
  <c r="AA94" i="12" l="1"/>
  <c r="C8" i="4"/>
  <c r="C36" i="3"/>
  <c r="D36" s="1"/>
  <c r="E36" s="1"/>
  <c r="F36" s="1"/>
  <c r="AC21" i="11"/>
  <c r="F17"/>
  <c r="C13" i="8"/>
  <c r="C14" s="1"/>
  <c r="AX23" i="11"/>
  <c r="F5" i="2"/>
  <c r="D5"/>
  <c r="C5"/>
  <c r="E5"/>
  <c r="D6" i="5"/>
  <c r="H12" i="2"/>
  <c r="M28" i="12" s="1"/>
  <c r="C3" i="5"/>
  <c r="AN24" i="11"/>
  <c r="A27"/>
  <c r="AE26"/>
  <c r="AF25"/>
  <c r="C40" i="3"/>
  <c r="D40"/>
  <c r="F40"/>
  <c r="F10" i="9"/>
  <c r="C12" i="2" l="1"/>
  <c r="D12"/>
  <c r="F12"/>
  <c r="E12"/>
  <c r="D3" i="5"/>
  <c r="D24" i="11"/>
  <c r="A28"/>
  <c r="AE27"/>
  <c r="AF26"/>
  <c r="H40" i="3"/>
  <c r="G10" i="9"/>
  <c r="AE28" i="11" l="1"/>
  <c r="A29"/>
  <c r="AF27"/>
  <c r="E11" i="8"/>
  <c r="J40" i="3" s="1"/>
  <c r="H10" i="9"/>
  <c r="AF28" i="11" l="1"/>
  <c r="A30"/>
  <c r="AE29"/>
  <c r="I10" i="9"/>
  <c r="AF29" i="11" l="1"/>
  <c r="A31"/>
  <c r="AE30"/>
  <c r="J10" i="9"/>
  <c r="A32" i="11" l="1"/>
  <c r="AE31"/>
  <c r="AF30"/>
  <c r="K10" i="9"/>
  <c r="A33" i="11" l="1"/>
  <c r="AF31"/>
  <c r="L10" i="9"/>
  <c r="A34" i="11" l="1"/>
  <c r="AE33"/>
  <c r="M10" i="9"/>
  <c r="A35" i="11" l="1"/>
  <c r="AE34"/>
  <c r="AF33"/>
  <c r="N10" i="9"/>
  <c r="A36" i="11" l="1"/>
  <c r="AE35"/>
  <c r="AF34"/>
  <c r="O10" i="9"/>
  <c r="AE36" i="11" l="1"/>
  <c r="A37"/>
  <c r="AF35"/>
  <c r="P10" i="9"/>
  <c r="AF36" i="11" l="1"/>
  <c r="A38"/>
  <c r="AE37"/>
  <c r="Q10" i="9"/>
  <c r="AF37" i="11" l="1"/>
  <c r="A39"/>
  <c r="AE38"/>
  <c r="R10" i="9"/>
  <c r="AF38" i="11" l="1"/>
  <c r="A40"/>
  <c r="AE39"/>
  <c r="S10" i="9"/>
  <c r="AF39" i="11" l="1"/>
  <c r="AE40"/>
  <c r="A41"/>
  <c r="T10" i="9"/>
  <c r="AF40" i="11" l="1"/>
  <c r="A42"/>
  <c r="AE41"/>
  <c r="U10" i="9"/>
  <c r="A43" i="11" l="1"/>
  <c r="AF41"/>
  <c r="V10" i="9"/>
  <c r="A44" i="11" l="1"/>
  <c r="AE43"/>
  <c r="W10" i="9"/>
  <c r="AF43" i="11" l="1"/>
  <c r="A45"/>
  <c r="AE44"/>
  <c r="X10" i="9"/>
  <c r="A46" i="11" l="1"/>
  <c r="AE45"/>
  <c r="AF44"/>
  <c r="Y10" i="9"/>
  <c r="AE46" i="11" l="1"/>
  <c r="A47"/>
  <c r="AF45"/>
  <c r="Z10" i="9"/>
  <c r="AF46" i="11" l="1"/>
  <c r="A48"/>
  <c r="AE47"/>
  <c r="AA10" i="9"/>
  <c r="AF47" i="11" l="1"/>
  <c r="A49"/>
  <c r="AE48"/>
  <c r="AB10" i="9"/>
  <c r="AF48" i="11" l="1"/>
  <c r="A50"/>
  <c r="AE49"/>
  <c r="AC10" i="9"/>
  <c r="AF49" i="11" l="1"/>
  <c r="AE50"/>
  <c r="A51"/>
  <c r="AD10" i="9"/>
  <c r="AF50" i="11" l="1"/>
  <c r="A52"/>
  <c r="AE51"/>
  <c r="AE10" i="9"/>
  <c r="A53" i="11" l="1"/>
  <c r="AF51"/>
  <c r="AF10" i="9"/>
  <c r="A54" i="11" l="1"/>
  <c r="AE53"/>
  <c r="AG10" i="9"/>
  <c r="AE54" i="11" l="1"/>
  <c r="A55"/>
  <c r="AF53"/>
  <c r="AH10" i="9"/>
  <c r="A56" i="11" l="1"/>
  <c r="AE55"/>
  <c r="AF54"/>
  <c r="AI10" i="9"/>
  <c r="A57" i="11" l="1"/>
  <c r="AE56"/>
  <c r="AF55"/>
  <c r="AJ10" i="9"/>
  <c r="A58" i="11" l="1"/>
  <c r="AE57"/>
  <c r="AF56"/>
  <c r="AK10" i="9"/>
  <c r="AF57" i="11" l="1"/>
  <c r="AE58"/>
  <c r="A59"/>
  <c r="AL10" i="9"/>
  <c r="AF58" i="11" l="1"/>
  <c r="A60"/>
  <c r="AE59"/>
  <c r="AM10" i="9"/>
  <c r="A61" i="11" l="1"/>
  <c r="AE60"/>
  <c r="AF59"/>
  <c r="AN10" i="9"/>
  <c r="A62" i="11" l="1"/>
  <c r="AE61"/>
  <c r="AF60"/>
  <c r="AO10" i="9"/>
  <c r="AF61" i="11" l="1"/>
  <c r="AP10" i="9"/>
  <c r="AQ10" l="1"/>
  <c r="D11" i="8" l="1"/>
  <c r="I40" i="3" s="1"/>
  <c r="H8" l="1"/>
  <c r="T64" i="12" s="1"/>
  <c r="D11" i="2" l="1"/>
  <c r="E11"/>
  <c r="F11"/>
  <c r="C11"/>
  <c r="C3" i="6" l="1"/>
  <c r="L14" s="1"/>
  <c r="C8" l="1"/>
  <c r="C15" i="3"/>
  <c r="I5" i="11"/>
  <c r="C24" s="1"/>
  <c r="AP24" s="1"/>
  <c r="I36" i="3" l="1"/>
  <c r="U76" i="12" s="1"/>
  <c r="F13"/>
  <c r="E24" i="11"/>
  <c r="F3" i="12" s="1"/>
  <c r="AM24" i="11"/>
  <c r="I35" i="3" s="1"/>
  <c r="U75" i="12" s="1"/>
  <c r="T24" i="11"/>
  <c r="AR24"/>
  <c r="AQ25" s="1"/>
  <c r="C25"/>
  <c r="U78" i="12" l="1"/>
  <c r="S24" i="11"/>
  <c r="D13" i="8" s="1"/>
  <c r="D14" s="1"/>
  <c r="AO24" i="11"/>
  <c r="AX24" s="1"/>
  <c r="AP25"/>
  <c r="AM25"/>
  <c r="J35" i="3" s="1"/>
  <c r="V75" i="12" s="1"/>
  <c r="C26" i="11"/>
  <c r="I5" i="2"/>
  <c r="N22" i="12" s="1"/>
  <c r="V24" i="11"/>
  <c r="I24"/>
  <c r="I12" i="2" l="1"/>
  <c r="N28" i="12" s="1"/>
  <c r="F8"/>
  <c r="J36" i="3"/>
  <c r="V76" i="12" s="1"/>
  <c r="V78" s="1"/>
  <c r="G13"/>
  <c r="T25" i="11"/>
  <c r="AR25"/>
  <c r="AQ26" s="1"/>
  <c r="S25"/>
  <c r="E13" i="8" s="1"/>
  <c r="E14" s="1"/>
  <c r="AM26" i="11"/>
  <c r="K35" i="3" s="1"/>
  <c r="W75" i="12" s="1"/>
  <c r="AP26" i="11"/>
  <c r="C27"/>
  <c r="AN25"/>
  <c r="AO25" s="1"/>
  <c r="AX25" s="1"/>
  <c r="K36" i="3" l="1"/>
  <c r="W76" i="12" s="1"/>
  <c r="W78" s="1"/>
  <c r="H13"/>
  <c r="AN26" i="11"/>
  <c r="AO26" s="1"/>
  <c r="AX26" s="1"/>
  <c r="S26"/>
  <c r="F13" i="8" s="1"/>
  <c r="F14" s="1"/>
  <c r="D25" i="11"/>
  <c r="E25" s="1"/>
  <c r="G3" i="12" s="1"/>
  <c r="T26" i="11"/>
  <c r="AR26"/>
  <c r="AQ27" s="1"/>
  <c r="AM27"/>
  <c r="L35" i="3" s="1"/>
  <c r="X75" i="12" s="1"/>
  <c r="AP27" i="11"/>
  <c r="C28"/>
  <c r="L36" i="3" l="1"/>
  <c r="X76" i="12" s="1"/>
  <c r="X78" s="1"/>
  <c r="I13"/>
  <c r="AN27" i="11"/>
  <c r="AO27" s="1"/>
  <c r="AX27" s="1"/>
  <c r="T27"/>
  <c r="AR27"/>
  <c r="AQ28" s="1"/>
  <c r="D26"/>
  <c r="E26" s="1"/>
  <c r="H3" i="12" s="1"/>
  <c r="S27" i="11"/>
  <c r="G13" i="8" s="1"/>
  <c r="G14" s="1"/>
  <c r="AP28" i="11"/>
  <c r="C29"/>
  <c r="AM28"/>
  <c r="V25"/>
  <c r="I25"/>
  <c r="J5" i="2"/>
  <c r="O22" i="12" s="1"/>
  <c r="J12" i="2" l="1"/>
  <c r="O28" i="12" s="1"/>
  <c r="G8"/>
  <c r="K5" i="2"/>
  <c r="P22" i="12" s="1"/>
  <c r="I26" i="11"/>
  <c r="V26"/>
  <c r="AP29"/>
  <c r="AM29"/>
  <c r="C30"/>
  <c r="AN28"/>
  <c r="AO28" s="1"/>
  <c r="AX28" s="1"/>
  <c r="D27"/>
  <c r="E27" s="1"/>
  <c r="I3" i="12" s="1"/>
  <c r="S28" i="11"/>
  <c r="H13" i="8" s="1"/>
  <c r="H14" s="1"/>
  <c r="T28" i="11"/>
  <c r="AR28"/>
  <c r="AQ29" s="1"/>
  <c r="K12" i="2" l="1"/>
  <c r="P28" i="12" s="1"/>
  <c r="H8"/>
  <c r="V27" i="11"/>
  <c r="L5" i="2"/>
  <c r="Q22" i="12" s="1"/>
  <c r="I27" i="11"/>
  <c r="T29"/>
  <c r="AR29"/>
  <c r="AQ30" s="1"/>
  <c r="D28"/>
  <c r="E28" s="1"/>
  <c r="S29"/>
  <c r="I13" i="8" s="1"/>
  <c r="I14" s="1"/>
  <c r="AN29" i="11"/>
  <c r="AO29" s="1"/>
  <c r="AX29" s="1"/>
  <c r="AM30"/>
  <c r="AP30"/>
  <c r="C31"/>
  <c r="L12" i="2" l="1"/>
  <c r="Q28" i="12" s="1"/>
  <c r="I8"/>
  <c r="AR30" i="11"/>
  <c r="AQ31" s="1"/>
  <c r="AN30"/>
  <c r="AO30" s="1"/>
  <c r="AX30" s="1"/>
  <c r="AP31"/>
  <c r="AM31"/>
  <c r="C32"/>
  <c r="S30"/>
  <c r="J13" i="8" s="1"/>
  <c r="J14" s="1"/>
  <c r="D29" i="11"/>
  <c r="E29" s="1"/>
  <c r="I28"/>
  <c r="V28"/>
  <c r="T30"/>
  <c r="AN31" l="1"/>
  <c r="AO31" s="1"/>
  <c r="AX31" s="1"/>
  <c r="I29"/>
  <c r="V29"/>
  <c r="D30"/>
  <c r="E30" s="1"/>
  <c r="T31"/>
  <c r="AR31"/>
  <c r="AQ32" s="1"/>
  <c r="AP32"/>
  <c r="AM32"/>
  <c r="C33"/>
  <c r="S31"/>
  <c r="K13" i="8" s="1"/>
  <c r="K14" s="1"/>
  <c r="S32" i="11" l="1"/>
  <c r="L13" i="8" s="1"/>
  <c r="L14" s="1"/>
  <c r="D31" i="11"/>
  <c r="E31" s="1"/>
  <c r="C34"/>
  <c r="AP33"/>
  <c r="AM33"/>
  <c r="AN32"/>
  <c r="AO32" s="1"/>
  <c r="AX32" s="1"/>
  <c r="T32"/>
  <c r="AR32"/>
  <c r="AQ33" s="1"/>
  <c r="I30"/>
  <c r="V30"/>
  <c r="AN33" l="1"/>
  <c r="AO33" s="1"/>
  <c r="AX33" s="1"/>
  <c r="AP34"/>
  <c r="C35"/>
  <c r="AM34"/>
  <c r="D32"/>
  <c r="E32" s="1"/>
  <c r="T33"/>
  <c r="AR33"/>
  <c r="AQ34" s="1"/>
  <c r="S33"/>
  <c r="M13" i="8" s="1"/>
  <c r="M14" s="1"/>
  <c r="I31" i="11"/>
  <c r="V31"/>
  <c r="AN34" l="1"/>
  <c r="AO34" s="1"/>
  <c r="AX34" s="1"/>
  <c r="I32"/>
  <c r="V32"/>
  <c r="AP35"/>
  <c r="AM35"/>
  <c r="C36"/>
  <c r="D33"/>
  <c r="E33" s="1"/>
  <c r="S34"/>
  <c r="N13" i="8" s="1"/>
  <c r="N14" s="1"/>
  <c r="T34" i="11"/>
  <c r="AR34"/>
  <c r="AQ35" s="1"/>
  <c r="I33" l="1"/>
  <c r="V33"/>
  <c r="T35"/>
  <c r="AR35"/>
  <c r="AQ36" s="1"/>
  <c r="S35"/>
  <c r="O13" i="8" s="1"/>
  <c r="O14" s="1"/>
  <c r="AN35" i="11"/>
  <c r="AO35" s="1"/>
  <c r="AX35" s="1"/>
  <c r="AM36"/>
  <c r="AP36"/>
  <c r="C37"/>
  <c r="D34"/>
  <c r="E34" s="1"/>
  <c r="AN36" l="1"/>
  <c r="AO36" s="1"/>
  <c r="AX36" s="1"/>
  <c r="S36"/>
  <c r="P13" i="8" s="1"/>
  <c r="P14" s="1"/>
  <c r="D35" i="11"/>
  <c r="E35" s="1"/>
  <c r="T36"/>
  <c r="AR36"/>
  <c r="AQ37" s="1"/>
  <c r="I34"/>
  <c r="V34"/>
  <c r="AM37"/>
  <c r="AP37"/>
  <c r="C38"/>
  <c r="S37" l="1"/>
  <c r="Q13" i="8" s="1"/>
  <c r="Q14" s="1"/>
  <c r="T37" i="11"/>
  <c r="AR37"/>
  <c r="AQ38" s="1"/>
  <c r="AN37"/>
  <c r="AO37" s="1"/>
  <c r="AX37" s="1"/>
  <c r="AP38"/>
  <c r="C39"/>
  <c r="AM38"/>
  <c r="I35"/>
  <c r="V35"/>
  <c r="D36"/>
  <c r="E36" s="1"/>
  <c r="AN38" l="1"/>
  <c r="AO38" s="1"/>
  <c r="AX38" s="1"/>
  <c r="I36"/>
  <c r="V36"/>
  <c r="T38"/>
  <c r="AR38"/>
  <c r="AQ39" s="1"/>
  <c r="AP39"/>
  <c r="AM39"/>
  <c r="C40"/>
  <c r="S38"/>
  <c r="R13" i="8" s="1"/>
  <c r="R14" s="1"/>
  <c r="D37" i="11"/>
  <c r="E37" s="1"/>
  <c r="AM40" l="1"/>
  <c r="AP40"/>
  <c r="C41"/>
  <c r="AN39"/>
  <c r="AO39" s="1"/>
  <c r="AX39" s="1"/>
  <c r="T39"/>
  <c r="AR39"/>
  <c r="AQ40" s="1"/>
  <c r="D38"/>
  <c r="E38" s="1"/>
  <c r="I37"/>
  <c r="V37"/>
  <c r="S39"/>
  <c r="S13" i="8" s="1"/>
  <c r="S14" s="1"/>
  <c r="AN40" i="11" l="1"/>
  <c r="AO40" s="1"/>
  <c r="AX40" s="1"/>
  <c r="D39"/>
  <c r="E39" s="1"/>
  <c r="I38"/>
  <c r="V38"/>
  <c r="S40"/>
  <c r="T13" i="8" s="1"/>
  <c r="T14" s="1"/>
  <c r="T40" i="11"/>
  <c r="AR40"/>
  <c r="AQ41" s="1"/>
  <c r="AP41"/>
  <c r="C42"/>
  <c r="AM41"/>
  <c r="AP42" l="1"/>
  <c r="C43"/>
  <c r="AM42"/>
  <c r="S41"/>
  <c r="U13" i="8" s="1"/>
  <c r="U14" s="1"/>
  <c r="T41" i="11"/>
  <c r="AR41"/>
  <c r="AQ42" s="1"/>
  <c r="AN41"/>
  <c r="AO41" s="1"/>
  <c r="AX41" s="1"/>
  <c r="I39"/>
  <c r="V39"/>
  <c r="D40"/>
  <c r="E40" s="1"/>
  <c r="V14" i="8" l="1"/>
  <c r="AN42" i="11"/>
  <c r="AO42" s="1"/>
  <c r="AX42" s="1"/>
  <c r="S42"/>
  <c r="V13" i="8" s="1"/>
  <c r="D41" i="11"/>
  <c r="E41" s="1"/>
  <c r="T42"/>
  <c r="AR42"/>
  <c r="AQ43" s="1"/>
  <c r="I40"/>
  <c r="V40"/>
  <c r="AM43"/>
  <c r="AP43"/>
  <c r="C44"/>
  <c r="AP44" l="1"/>
  <c r="AM44"/>
  <c r="C45"/>
  <c r="AN43"/>
  <c r="AO43" s="1"/>
  <c r="AX43" s="1"/>
  <c r="I41"/>
  <c r="V41"/>
  <c r="D42"/>
  <c r="E42" s="1"/>
  <c r="S43"/>
  <c r="W13" i="8" s="1"/>
  <c r="W14" s="1"/>
  <c r="T43" i="11"/>
  <c r="AR43"/>
  <c r="AQ44" s="1"/>
  <c r="AP45" l="1"/>
  <c r="AM45"/>
  <c r="C46"/>
  <c r="AN44"/>
  <c r="AO44" s="1"/>
  <c r="AX44" s="1"/>
  <c r="I42"/>
  <c r="V42"/>
  <c r="T44"/>
  <c r="AR44"/>
  <c r="AQ45" s="1"/>
  <c r="D43"/>
  <c r="E43" s="1"/>
  <c r="S44"/>
  <c r="X13" i="8" s="1"/>
  <c r="X14" s="1"/>
  <c r="C47" i="11" l="1"/>
  <c r="AP46"/>
  <c r="AM46"/>
  <c r="I43"/>
  <c r="V43"/>
  <c r="T45"/>
  <c r="AR45"/>
  <c r="AQ46" s="1"/>
  <c r="D44"/>
  <c r="E44" s="1"/>
  <c r="AN45"/>
  <c r="AO45" s="1"/>
  <c r="AX45" s="1"/>
  <c r="S45"/>
  <c r="Y13" i="8" s="1"/>
  <c r="Y14" s="1"/>
  <c r="Z14" l="1"/>
  <c r="AN46" i="11"/>
  <c r="AO46" s="1"/>
  <c r="AX46" s="1"/>
  <c r="D45"/>
  <c r="E45" s="1"/>
  <c r="AP47"/>
  <c r="AM47"/>
  <c r="C48"/>
  <c r="I44"/>
  <c r="V44"/>
  <c r="T46"/>
  <c r="AR46"/>
  <c r="AQ47" s="1"/>
  <c r="S46"/>
  <c r="Z13" i="8" s="1"/>
  <c r="S47" i="11" l="1"/>
  <c r="AA13" i="8" s="1"/>
  <c r="AA14" s="1"/>
  <c r="AN47" i="11"/>
  <c r="AO47" s="1"/>
  <c r="AX47" s="1"/>
  <c r="AP48"/>
  <c r="AM48"/>
  <c r="C49"/>
  <c r="D46"/>
  <c r="E46" s="1"/>
  <c r="T47"/>
  <c r="AR47"/>
  <c r="AQ48" s="1"/>
  <c r="I45"/>
  <c r="V45"/>
  <c r="T48" l="1"/>
  <c r="AR48"/>
  <c r="AQ49" s="1"/>
  <c r="AN48"/>
  <c r="AO48" s="1"/>
  <c r="AX48" s="1"/>
  <c r="I46"/>
  <c r="V46"/>
  <c r="S48"/>
  <c r="AB13" i="8" s="1"/>
  <c r="AB14" s="1"/>
  <c r="AP49" i="11"/>
  <c r="AM49"/>
  <c r="C50"/>
  <c r="D47"/>
  <c r="E47" s="1"/>
  <c r="T49" l="1"/>
  <c r="AR49"/>
  <c r="AQ50" s="1"/>
  <c r="AP50"/>
  <c r="C51"/>
  <c r="AM50"/>
  <c r="S49"/>
  <c r="AC13" i="8" s="1"/>
  <c r="AC14" s="1"/>
  <c r="D48" i="11"/>
  <c r="E48" s="1"/>
  <c r="I47"/>
  <c r="V47"/>
  <c r="AN49"/>
  <c r="AO49" s="1"/>
  <c r="AX49" s="1"/>
  <c r="AN50" l="1"/>
  <c r="AO50" s="1"/>
  <c r="AX50" s="1"/>
  <c r="AM51"/>
  <c r="AP51"/>
  <c r="C52"/>
  <c r="I48"/>
  <c r="V48"/>
  <c r="D49"/>
  <c r="E49" s="1"/>
  <c r="S50"/>
  <c r="AD13" i="8" s="1"/>
  <c r="AD14" s="1"/>
  <c r="T50" i="11"/>
  <c r="AR50"/>
  <c r="AQ51" s="1"/>
  <c r="S51" l="1"/>
  <c r="AE13" i="8" s="1"/>
  <c r="AE14" s="1"/>
  <c r="T51" i="11"/>
  <c r="AR51"/>
  <c r="AQ52" s="1"/>
  <c r="AM52"/>
  <c r="AP52"/>
  <c r="C53"/>
  <c r="AN51"/>
  <c r="AO51" s="1"/>
  <c r="AX51" s="1"/>
  <c r="I49"/>
  <c r="V49"/>
  <c r="D50"/>
  <c r="E50" s="1"/>
  <c r="AF14" i="8" l="1"/>
  <c r="AN52" i="11"/>
  <c r="AO52" s="1"/>
  <c r="AX52" s="1"/>
  <c r="I50"/>
  <c r="V50"/>
  <c r="AR52"/>
  <c r="AQ53" s="1"/>
  <c r="T52"/>
  <c r="D51"/>
  <c r="E51" s="1"/>
  <c r="AP53"/>
  <c r="AM53"/>
  <c r="C54"/>
  <c r="S52"/>
  <c r="AF13" i="8" s="1"/>
  <c r="AG14" l="1"/>
  <c r="AN53" i="11"/>
  <c r="AO53" s="1"/>
  <c r="AX53" s="1"/>
  <c r="S53"/>
  <c r="AG13" i="8" s="1"/>
  <c r="I51" i="11"/>
  <c r="V51"/>
  <c r="T53"/>
  <c r="AR53"/>
  <c r="AQ54" s="1"/>
  <c r="C55"/>
  <c r="AP54"/>
  <c r="AM54"/>
  <c r="D52"/>
  <c r="E52" s="1"/>
  <c r="AR54" l="1"/>
  <c r="AQ55" s="1"/>
  <c r="T54"/>
  <c r="S54"/>
  <c r="AH13" i="8" s="1"/>
  <c r="AH14" s="1"/>
  <c r="I52" i="11"/>
  <c r="V52"/>
  <c r="AP55"/>
  <c r="AM55"/>
  <c r="C56"/>
  <c r="D53"/>
  <c r="E53" s="1"/>
  <c r="AN54"/>
  <c r="AO54" s="1"/>
  <c r="AX54" s="1"/>
  <c r="AN55" l="1"/>
  <c r="AO55" s="1"/>
  <c r="AX55" s="1"/>
  <c r="I53"/>
  <c r="V53"/>
  <c r="S55"/>
  <c r="AI13" i="8" s="1"/>
  <c r="AI14" s="1"/>
  <c r="D54" i="11"/>
  <c r="E54" s="1"/>
  <c r="T55"/>
  <c r="AR55"/>
  <c r="AQ56" s="1"/>
  <c r="C57"/>
  <c r="AM56"/>
  <c r="AP56"/>
  <c r="T56" l="1"/>
  <c r="AR56"/>
  <c r="AQ57" s="1"/>
  <c r="D55"/>
  <c r="E55" s="1"/>
  <c r="AN56"/>
  <c r="AO56" s="1"/>
  <c r="AX56" s="1"/>
  <c r="AP57"/>
  <c r="AM57"/>
  <c r="C58"/>
  <c r="S56"/>
  <c r="AJ13" i="8" s="1"/>
  <c r="AJ14" s="1"/>
  <c r="I54" i="11"/>
  <c r="V54"/>
  <c r="AK14" i="8" l="1"/>
  <c r="AR57" i="11"/>
  <c r="AQ58" s="1"/>
  <c r="T57"/>
  <c r="S57"/>
  <c r="AK13" i="8" s="1"/>
  <c r="D56" i="11"/>
  <c r="E56" s="1"/>
  <c r="AN57"/>
  <c r="AO57" s="1"/>
  <c r="AX57" s="1"/>
  <c r="C59"/>
  <c r="AM58"/>
  <c r="AP58"/>
  <c r="I55"/>
  <c r="V55"/>
  <c r="AN58" l="1"/>
  <c r="AO58" s="1"/>
  <c r="AX58" s="1"/>
  <c r="D57"/>
  <c r="E57" s="1"/>
  <c r="T58"/>
  <c r="AR58"/>
  <c r="AQ59" s="1"/>
  <c r="AP59"/>
  <c r="AM59"/>
  <c r="C60"/>
  <c r="S58"/>
  <c r="AL13" i="8" s="1"/>
  <c r="AL14" s="1"/>
  <c r="I56" i="11"/>
  <c r="V56"/>
  <c r="AM60" l="1"/>
  <c r="C61"/>
  <c r="AP60"/>
  <c r="AN59"/>
  <c r="AO59" s="1"/>
  <c r="AX59" s="1"/>
  <c r="D58"/>
  <c r="E58" s="1"/>
  <c r="AR59"/>
  <c r="AQ60" s="1"/>
  <c r="T59"/>
  <c r="I57"/>
  <c r="V57"/>
  <c r="S59"/>
  <c r="AM13" i="8" s="1"/>
  <c r="AM14" s="1"/>
  <c r="S60" i="11" l="1"/>
  <c r="AN13" i="8" s="1"/>
  <c r="AN14" s="1"/>
  <c r="I58" i="11"/>
  <c r="V58"/>
  <c r="D59"/>
  <c r="E59" s="1"/>
  <c r="AP61"/>
  <c r="C62"/>
  <c r="AM61"/>
  <c r="AN60"/>
  <c r="AO60" s="1"/>
  <c r="AX60" s="1"/>
  <c r="T60"/>
  <c r="AR60"/>
  <c r="AQ61" s="1"/>
  <c r="AN61" l="1"/>
  <c r="AO61" s="1"/>
  <c r="AX61" s="1"/>
  <c r="T61"/>
  <c r="AR61"/>
  <c r="AQ62" s="1"/>
  <c r="I59"/>
  <c r="V59"/>
  <c r="AP62"/>
  <c r="AM62"/>
  <c r="D60"/>
  <c r="E60" s="1"/>
  <c r="S61"/>
  <c r="AO13" i="8" s="1"/>
  <c r="AO14" s="1"/>
  <c r="I60" i="11" l="1"/>
  <c r="V60"/>
  <c r="S62"/>
  <c r="AP13" i="8" s="1"/>
  <c r="AP14" s="1"/>
  <c r="D61" i="11"/>
  <c r="E61" s="1"/>
  <c r="AN62"/>
  <c r="AO62" s="1"/>
  <c r="AX62" s="1"/>
  <c r="T62"/>
  <c r="AR62"/>
  <c r="I61" l="1"/>
  <c r="V61"/>
  <c r="D62"/>
  <c r="E62" s="1"/>
  <c r="I62" l="1"/>
  <c r="V62"/>
  <c r="J41" i="6" l="1"/>
  <c r="L41" s="1"/>
  <c r="J43" l="1"/>
  <c r="E5" l="1"/>
  <c r="AM38" i="2" l="1"/>
  <c r="AQ38"/>
  <c r="AU38"/>
  <c r="AL38"/>
  <c r="AP38"/>
  <c r="AT38"/>
  <c r="AO38"/>
  <c r="AS38"/>
  <c r="AN38"/>
  <c r="AR38"/>
  <c r="E6" i="6"/>
  <c r="E7" l="1"/>
  <c r="E8" l="1"/>
  <c r="E9" l="1"/>
  <c r="E16" i="11" l="1"/>
  <c r="C15" i="5" l="1"/>
  <c r="D15" s="1"/>
  <c r="X23" i="11"/>
  <c r="H23"/>
  <c r="E7" i="12" s="1"/>
  <c r="B24" i="11"/>
  <c r="H15" i="4" s="1"/>
  <c r="C15" l="1"/>
  <c r="D15" s="1"/>
  <c r="E15" s="1"/>
  <c r="F15" s="1"/>
  <c r="AA97" i="12"/>
  <c r="H24" i="11"/>
  <c r="F7" i="12" s="1"/>
  <c r="X24" i="11"/>
  <c r="B25"/>
  <c r="I15" i="4" s="1"/>
  <c r="Y23" i="11"/>
  <c r="Z23" s="1"/>
  <c r="AB23" s="1"/>
  <c r="C7" i="5"/>
  <c r="H16" i="2"/>
  <c r="M30" i="12" s="1"/>
  <c r="I40" i="2" l="1"/>
  <c r="N54" i="12" s="1"/>
  <c r="AB97"/>
  <c r="W24" i="11"/>
  <c r="AS23"/>
  <c r="J23"/>
  <c r="E6" i="12" s="1"/>
  <c r="I16" i="2"/>
  <c r="N30" i="12" s="1"/>
  <c r="H40" i="2"/>
  <c r="D16"/>
  <c r="C16"/>
  <c r="E16"/>
  <c r="F16"/>
  <c r="Y24" i="11"/>
  <c r="AA23"/>
  <c r="D7" i="5"/>
  <c r="H25" i="11"/>
  <c r="G7" i="12" s="1"/>
  <c r="X25" i="11"/>
  <c r="B26"/>
  <c r="J15" i="4" s="1"/>
  <c r="J40" i="2" l="1"/>
  <c r="O54" i="12" s="1"/>
  <c r="AC97"/>
  <c r="F40" i="2"/>
  <c r="M54" i="12"/>
  <c r="AK23" i="11"/>
  <c r="K23"/>
  <c r="H15" i="2" s="1"/>
  <c r="J16"/>
  <c r="O30" i="12" s="1"/>
  <c r="Y25" i="11"/>
  <c r="E40" i="2"/>
  <c r="H26" i="11"/>
  <c r="H7" i="12" s="1"/>
  <c r="B27" i="11"/>
  <c r="K15" i="4" s="1"/>
  <c r="X26" i="11"/>
  <c r="K40" i="2" l="1"/>
  <c r="P54" i="12" s="1"/>
  <c r="AD97"/>
  <c r="F15" i="2"/>
  <c r="F18" s="1"/>
  <c r="M29" i="12"/>
  <c r="M32" s="1"/>
  <c r="C15" i="2"/>
  <c r="L43" i="6" s="1"/>
  <c r="E15" i="2"/>
  <c r="E18" s="1"/>
  <c r="D15"/>
  <c r="D18" s="1"/>
  <c r="K16"/>
  <c r="P30" i="12" s="1"/>
  <c r="X27" i="11"/>
  <c r="H27"/>
  <c r="I7" i="12" s="1"/>
  <c r="B28" i="11"/>
  <c r="L15" i="4" s="1"/>
  <c r="Y26" i="11"/>
  <c r="D40" i="2"/>
  <c r="AT23" i="11"/>
  <c r="E15" i="12" s="1"/>
  <c r="L40" i="2" l="1"/>
  <c r="Q54" i="12" s="1"/>
  <c r="AE97"/>
  <c r="L16" i="2"/>
  <c r="Q30" i="12" s="1"/>
  <c r="C40" i="2"/>
  <c r="H28" i="11"/>
  <c r="X28"/>
  <c r="B29"/>
  <c r="Z24"/>
  <c r="AU23"/>
  <c r="Y27"/>
  <c r="AB24" l="1"/>
  <c r="AS24" s="1"/>
  <c r="AA24"/>
  <c r="H29"/>
  <c r="X29"/>
  <c r="B30"/>
  <c r="Y28"/>
  <c r="W25" l="1"/>
  <c r="Y29"/>
  <c r="X30"/>
  <c r="H30"/>
  <c r="B31"/>
  <c r="H31" l="1"/>
  <c r="X31"/>
  <c r="B32"/>
  <c r="Y30"/>
  <c r="X32" l="1"/>
  <c r="H32"/>
  <c r="AE32"/>
  <c r="B33"/>
  <c r="Y31"/>
  <c r="AF32" l="1"/>
  <c r="H33"/>
  <c r="X33"/>
  <c r="B34"/>
  <c r="Y32"/>
  <c r="X34" l="1"/>
  <c r="H34"/>
  <c r="B35"/>
  <c r="Y33"/>
  <c r="Y34" l="1"/>
  <c r="X35"/>
  <c r="H35"/>
  <c r="B36"/>
  <c r="Y35" l="1"/>
  <c r="H36"/>
  <c r="X36"/>
  <c r="B37"/>
  <c r="Y36" l="1"/>
  <c r="X37"/>
  <c r="H37"/>
  <c r="B38"/>
  <c r="Y37" l="1"/>
  <c r="X38"/>
  <c r="H38"/>
  <c r="B39"/>
  <c r="X39" l="1"/>
  <c r="H39"/>
  <c r="B40"/>
  <c r="Y38"/>
  <c r="H40" l="1"/>
  <c r="X40"/>
  <c r="B41"/>
  <c r="Y39"/>
  <c r="Y40" l="1"/>
  <c r="X41"/>
  <c r="H41"/>
  <c r="B42"/>
  <c r="X42" l="1"/>
  <c r="H42"/>
  <c r="AE42"/>
  <c r="B43"/>
  <c r="Y41"/>
  <c r="X43" l="1"/>
  <c r="H43"/>
  <c r="B44"/>
  <c r="Y42"/>
  <c r="AF42"/>
  <c r="H44" l="1"/>
  <c r="X44"/>
  <c r="B45"/>
  <c r="Y43"/>
  <c r="H45" l="1"/>
  <c r="X45"/>
  <c r="B46"/>
  <c r="Y44"/>
  <c r="Y45" l="1"/>
  <c r="H46"/>
  <c r="X46"/>
  <c r="B47"/>
  <c r="Y46" l="1"/>
  <c r="H47"/>
  <c r="X47"/>
  <c r="B48"/>
  <c r="H48" l="1"/>
  <c r="X48"/>
  <c r="B49"/>
  <c r="Y47"/>
  <c r="H49" l="1"/>
  <c r="X49"/>
  <c r="B50"/>
  <c r="Y48"/>
  <c r="Y49" l="1"/>
  <c r="H50"/>
  <c r="X50"/>
  <c r="B51"/>
  <c r="X51" l="1"/>
  <c r="H51"/>
  <c r="B52"/>
  <c r="Y50"/>
  <c r="AE52" l="1"/>
  <c r="H52"/>
  <c r="X52"/>
  <c r="B53"/>
  <c r="Y51"/>
  <c r="AF52" l="1"/>
  <c r="Y52"/>
  <c r="H53"/>
  <c r="X53"/>
  <c r="B54"/>
  <c r="Y53" l="1"/>
  <c r="H54"/>
  <c r="X54"/>
  <c r="B55"/>
  <c r="H55" l="1"/>
  <c r="X55"/>
  <c r="B56"/>
  <c r="Y54"/>
  <c r="H56" l="1"/>
  <c r="B57"/>
  <c r="X56"/>
  <c r="Y55"/>
  <c r="H57" l="1"/>
  <c r="X57"/>
  <c r="B58"/>
  <c r="Y56"/>
  <c r="H58" l="1"/>
  <c r="X58"/>
  <c r="B59"/>
  <c r="Y57"/>
  <c r="H59" l="1"/>
  <c r="B60"/>
  <c r="X59"/>
  <c r="Y58"/>
  <c r="H60" l="1"/>
  <c r="X60"/>
  <c r="B61"/>
  <c r="Y59"/>
  <c r="Y60" l="1"/>
  <c r="H61"/>
  <c r="B62"/>
  <c r="X61"/>
  <c r="AE62" l="1"/>
  <c r="H62"/>
  <c r="B63"/>
  <c r="X62"/>
  <c r="Y61"/>
  <c r="Y62" l="1"/>
  <c r="AF62"/>
  <c r="E11" i="7"/>
  <c r="J53"/>
  <c r="E53"/>
  <c r="O53"/>
  <c r="O13"/>
  <c r="J11"/>
  <c r="C61"/>
  <c r="E61" s="1"/>
  <c r="M61"/>
  <c r="O61" s="1"/>
  <c r="M60"/>
  <c r="O60" s="1"/>
  <c r="C60"/>
  <c r="O32"/>
  <c r="O56" s="1"/>
  <c r="H61"/>
  <c r="J61" s="1"/>
  <c r="E32"/>
  <c r="H60"/>
  <c r="J60" s="1"/>
  <c r="F14" i="6"/>
  <c r="F4" s="1"/>
  <c r="G4"/>
  <c r="J32" i="7"/>
  <c r="J56" s="1"/>
  <c r="C3" i="9"/>
  <c r="L13" i="6" l="1"/>
  <c r="E56" i="7"/>
  <c r="C62"/>
  <c r="H37" i="2"/>
  <c r="M51" i="12" s="1"/>
  <c r="H6" i="4"/>
  <c r="AA92" i="12" s="1"/>
  <c r="H5" i="4"/>
  <c r="AA91" i="12" s="1"/>
  <c r="E60" i="7"/>
  <c r="E62" s="1"/>
  <c r="J62"/>
  <c r="L16" i="6" s="1"/>
  <c r="O62" i="7"/>
  <c r="H62"/>
  <c r="M62"/>
  <c r="D18" i="9"/>
  <c r="F3"/>
  <c r="C10" i="3" s="1"/>
  <c r="H10" s="1"/>
  <c r="D11" i="9"/>
  <c r="J4" i="6"/>
  <c r="H4" i="4" s="1"/>
  <c r="F7" i="6"/>
  <c r="F9"/>
  <c r="G7"/>
  <c r="G8"/>
  <c r="G6"/>
  <c r="F5"/>
  <c r="G9"/>
  <c r="G5"/>
  <c r="F8"/>
  <c r="F6"/>
  <c r="F10"/>
  <c r="G10"/>
  <c r="C4" i="4" l="1"/>
  <c r="AA90" i="12"/>
  <c r="C37" i="2"/>
  <c r="D37" s="1"/>
  <c r="E37" s="1"/>
  <c r="F37" s="1"/>
  <c r="F4" i="9"/>
  <c r="D3" i="11"/>
  <c r="C31" i="3"/>
  <c r="H38" i="2"/>
  <c r="M52" i="12" s="1"/>
  <c r="M53" s="1"/>
  <c r="M55" s="1"/>
  <c r="H9" i="4"/>
  <c r="AA95" i="12" s="1"/>
  <c r="C8" i="10"/>
  <c r="H8" s="1"/>
  <c r="C29" i="3"/>
  <c r="D37" i="9"/>
  <c r="D45"/>
  <c r="D17"/>
  <c r="D25"/>
  <c r="D61"/>
  <c r="D29"/>
  <c r="D21"/>
  <c r="D57"/>
  <c r="D49"/>
  <c r="D53"/>
  <c r="D33"/>
  <c r="D41"/>
  <c r="D5" i="11" l="1"/>
  <c r="B3" i="12"/>
  <c r="C38" i="2"/>
  <c r="D38" s="1"/>
  <c r="E38" s="1"/>
  <c r="F38" s="1"/>
  <c r="F39" s="1"/>
  <c r="H6"/>
  <c r="M23" i="12" s="1"/>
  <c r="M25" s="1"/>
  <c r="D74" i="9"/>
  <c r="H29" i="3"/>
  <c r="T70" i="12" s="1"/>
  <c r="D78" i="9"/>
  <c r="D70"/>
  <c r="D66"/>
  <c r="D14"/>
  <c r="D19"/>
  <c r="D6" i="11" l="1"/>
  <c r="B5" i="12"/>
  <c r="O22" i="11"/>
  <c r="F14"/>
  <c r="AW23"/>
  <c r="F13"/>
  <c r="F6" i="10"/>
  <c r="F41" i="2"/>
  <c r="D39"/>
  <c r="C39"/>
  <c r="E39"/>
  <c r="F6"/>
  <c r="F8" s="1"/>
  <c r="F20" s="1"/>
  <c r="F5" i="3" s="1"/>
  <c r="C6" i="2"/>
  <c r="C8" s="1"/>
  <c r="D6"/>
  <c r="D8" s="1"/>
  <c r="D20" s="1"/>
  <c r="D5" i="3" s="1"/>
  <c r="E6" i="2"/>
  <c r="E8" s="1"/>
  <c r="E20" s="1"/>
  <c r="E5" i="3" s="1"/>
  <c r="D22" i="9"/>
  <c r="D23" s="1"/>
  <c r="O23" i="11" l="1"/>
  <c r="B6" i="12"/>
  <c r="L17" i="6"/>
  <c r="H17" i="2" s="1"/>
  <c r="C17" s="1"/>
  <c r="C18" s="1"/>
  <c r="H18" s="1"/>
  <c r="D8" i="11"/>
  <c r="D6" i="10"/>
  <c r="D41" i="2"/>
  <c r="E6" i="10"/>
  <c r="E41" i="2"/>
  <c r="C6" i="10"/>
  <c r="C41" i="2"/>
  <c r="H39"/>
  <c r="H31" i="3"/>
  <c r="C32"/>
  <c r="F21" i="4"/>
  <c r="H21" s="1"/>
  <c r="H8" i="2"/>
  <c r="C21" i="4"/>
  <c r="C18" i="3" s="1"/>
  <c r="D21" i="4"/>
  <c r="E21"/>
  <c r="D26" i="9"/>
  <c r="D27" s="1"/>
  <c r="H20" i="2" l="1"/>
  <c r="H5" i="3" s="1"/>
  <c r="C20" i="2"/>
  <c r="C5" i="3" s="1"/>
  <c r="H32"/>
  <c r="T71" i="12"/>
  <c r="T72" s="1"/>
  <c r="J6" i="6"/>
  <c r="AV22" i="11"/>
  <c r="B8" i="12"/>
  <c r="C3" i="8"/>
  <c r="U21" i="11"/>
  <c r="I3"/>
  <c r="H6" i="10"/>
  <c r="H41" i="2"/>
  <c r="D67" i="9"/>
  <c r="C24" i="2" s="1"/>
  <c r="C25" s="1"/>
  <c r="F18" i="3"/>
  <c r="D11"/>
  <c r="C11"/>
  <c r="D15"/>
  <c r="F11"/>
  <c r="F15"/>
  <c r="H15" s="1"/>
  <c r="E11"/>
  <c r="D18"/>
  <c r="E18"/>
  <c r="L44" i="6"/>
  <c r="J8" s="1"/>
  <c r="D8" i="3"/>
  <c r="D30" i="9"/>
  <c r="D31" s="1"/>
  <c r="D68"/>
  <c r="C8" i="3"/>
  <c r="E8"/>
  <c r="F8"/>
  <c r="C7" i="6" l="1"/>
  <c r="C9" s="1"/>
  <c r="AV23" i="11"/>
  <c r="M24"/>
  <c r="F9" i="12" s="1"/>
  <c r="C9" i="8"/>
  <c r="C12"/>
  <c r="C39" i="3"/>
  <c r="H39" s="1"/>
  <c r="T77" i="12" s="1"/>
  <c r="T78" s="1"/>
  <c r="C28" i="2"/>
  <c r="C30" s="1"/>
  <c r="C32" s="1"/>
  <c r="M42" i="12"/>
  <c r="M44" s="1"/>
  <c r="H30" i="2"/>
  <c r="U22" i="11"/>
  <c r="L23"/>
  <c r="H18" i="3"/>
  <c r="E15"/>
  <c r="F17"/>
  <c r="E17"/>
  <c r="D22"/>
  <c r="C22"/>
  <c r="C17"/>
  <c r="D17"/>
  <c r="I15"/>
  <c r="H11"/>
  <c r="F22"/>
  <c r="E22"/>
  <c r="D34" i="9"/>
  <c r="D35" s="1"/>
  <c r="L24" i="11" l="1"/>
  <c r="E10" i="12"/>
  <c r="C31" i="4"/>
  <c r="C49" s="1"/>
  <c r="AV24" i="11"/>
  <c r="M25"/>
  <c r="G9" i="12" s="1"/>
  <c r="N23" i="11"/>
  <c r="P23" s="1"/>
  <c r="E12" i="12" s="1"/>
  <c r="C12" i="5"/>
  <c r="D9" i="8"/>
  <c r="H49" i="4"/>
  <c r="AA115" i="12" s="1"/>
  <c r="D10" i="8"/>
  <c r="C42" i="3"/>
  <c r="H17"/>
  <c r="H22"/>
  <c r="D38" i="9"/>
  <c r="D71" s="1"/>
  <c r="C4" i="10"/>
  <c r="D12" i="8" l="1"/>
  <c r="I31" i="4"/>
  <c r="AB106" i="12" s="1"/>
  <c r="AV25" i="11"/>
  <c r="M26"/>
  <c r="H9" i="12" s="1"/>
  <c r="I23" i="2"/>
  <c r="I14" i="3"/>
  <c r="U66" i="12" s="1"/>
  <c r="C19" i="5"/>
  <c r="C18" s="1"/>
  <c r="D12"/>
  <c r="D31" i="4"/>
  <c r="E31" s="1"/>
  <c r="F31" s="1"/>
  <c r="H31" s="1"/>
  <c r="AA106" i="12" s="1"/>
  <c r="D39" i="9"/>
  <c r="D42" s="1"/>
  <c r="C9" i="10"/>
  <c r="D24" i="2"/>
  <c r="D25" s="1"/>
  <c r="D32" s="1"/>
  <c r="D72" i="9"/>
  <c r="E10" i="8" l="1"/>
  <c r="E9"/>
  <c r="I49" i="4"/>
  <c r="AB115" i="12" s="1"/>
  <c r="AV26" i="11"/>
  <c r="M27"/>
  <c r="I9" i="12" s="1"/>
  <c r="D49" i="4"/>
  <c r="E49" s="1"/>
  <c r="F49" s="1"/>
  <c r="N37" i="12"/>
  <c r="I8" i="3"/>
  <c r="U64" i="12" s="1"/>
  <c r="D42" i="3"/>
  <c r="D43" i="9"/>
  <c r="C16" i="10"/>
  <c r="C17" s="1"/>
  <c r="C12"/>
  <c r="E12" i="8" l="1"/>
  <c r="J31" i="4"/>
  <c r="AC106" i="12" s="1"/>
  <c r="J23" i="2"/>
  <c r="J14" i="3"/>
  <c r="V66" i="12" s="1"/>
  <c r="M28" i="11"/>
  <c r="AV27"/>
  <c r="D4" i="10"/>
  <c r="C30" i="4"/>
  <c r="C33" i="2"/>
  <c r="I17" i="3"/>
  <c r="I22"/>
  <c r="C14" i="10"/>
  <c r="D11" s="1"/>
  <c r="D46" i="9"/>
  <c r="D47" s="1"/>
  <c r="F9" i="8" l="1"/>
  <c r="K31" i="4" s="1"/>
  <c r="AD106" i="12" s="1"/>
  <c r="J49" i="4"/>
  <c r="AC115" i="12" s="1"/>
  <c r="F10" i="8"/>
  <c r="F11"/>
  <c r="K40" i="3" s="1"/>
  <c r="F12" i="8"/>
  <c r="M29" i="11"/>
  <c r="AV28"/>
  <c r="O37" i="12"/>
  <c r="J8" i="3"/>
  <c r="V64" i="12" s="1"/>
  <c r="D50" i="9"/>
  <c r="D51" s="1"/>
  <c r="C7" i="3"/>
  <c r="C34" i="2"/>
  <c r="D9" i="10"/>
  <c r="G11" i="8" l="1"/>
  <c r="L40" i="3" s="1"/>
  <c r="G10" i="8"/>
  <c r="K49" i="4"/>
  <c r="AD115" i="12" s="1"/>
  <c r="G9" i="8"/>
  <c r="L31" i="4" s="1"/>
  <c r="AE106" i="12" s="1"/>
  <c r="M30" i="11"/>
  <c r="AV29"/>
  <c r="K23" i="2"/>
  <c r="K14" i="3"/>
  <c r="W66" i="12" s="1"/>
  <c r="D75" i="9"/>
  <c r="E24" i="2" s="1"/>
  <c r="E25" s="1"/>
  <c r="E32" s="1"/>
  <c r="D76" i="9"/>
  <c r="D54"/>
  <c r="D55" s="1"/>
  <c r="D12" i="10"/>
  <c r="D13"/>
  <c r="C48" i="4"/>
  <c r="AV30" i="11" l="1"/>
  <c r="M31"/>
  <c r="L23" i="2"/>
  <c r="L14" i="3"/>
  <c r="X66" i="12" s="1"/>
  <c r="G12" i="8"/>
  <c r="P37" i="12"/>
  <c r="K8" i="3"/>
  <c r="W64" i="12" s="1"/>
  <c r="C26" i="3"/>
  <c r="D58" i="9"/>
  <c r="D59" s="1"/>
  <c r="D14" i="10"/>
  <c r="E11" s="1"/>
  <c r="E42" i="3"/>
  <c r="D16" i="10"/>
  <c r="D17" s="1"/>
  <c r="Q37" i="12" l="1"/>
  <c r="L8" i="3"/>
  <c r="X64" i="12" s="1"/>
  <c r="H9" i="8"/>
  <c r="H10"/>
  <c r="H11"/>
  <c r="H12" s="1"/>
  <c r="L49" i="4"/>
  <c r="AE115" i="12" s="1"/>
  <c r="AV31" i="11"/>
  <c r="M32"/>
  <c r="C46" i="3"/>
  <c r="C48" s="1"/>
  <c r="D47" s="1"/>
  <c r="D62" i="9"/>
  <c r="E4" i="10"/>
  <c r="J17" i="3"/>
  <c r="D33" i="2"/>
  <c r="D30" i="4"/>
  <c r="J22" i="3"/>
  <c r="I10" i="8" l="1"/>
  <c r="I9"/>
  <c r="I11"/>
  <c r="I12" s="1"/>
  <c r="AV32" i="11"/>
  <c r="M33"/>
  <c r="D79" i="9"/>
  <c r="D15"/>
  <c r="D63"/>
  <c r="D7" i="3"/>
  <c r="D34" i="2"/>
  <c r="E9" i="10"/>
  <c r="J10" i="8" l="1"/>
  <c r="J9"/>
  <c r="J11"/>
  <c r="J12" s="1"/>
  <c r="AV33" i="11"/>
  <c r="M34"/>
  <c r="D48" i="4"/>
  <c r="E12" i="10"/>
  <c r="E13"/>
  <c r="F24" i="2"/>
  <c r="F25" s="1"/>
  <c r="F32" s="1"/>
  <c r="D80" i="9"/>
  <c r="E11"/>
  <c r="E18"/>
  <c r="D13"/>
  <c r="K11" i="8" l="1"/>
  <c r="K12" s="1"/>
  <c r="K9"/>
  <c r="K10"/>
  <c r="M35" i="11"/>
  <c r="AV34"/>
  <c r="D26" i="3"/>
  <c r="D46" s="1"/>
  <c r="D48" s="1"/>
  <c r="E47" s="1"/>
  <c r="F42"/>
  <c r="H42"/>
  <c r="E14" i="10"/>
  <c r="F11" s="1"/>
  <c r="H32" i="2"/>
  <c r="E49" i="9"/>
  <c r="E33"/>
  <c r="E61"/>
  <c r="E17"/>
  <c r="E45"/>
  <c r="E37"/>
  <c r="E41"/>
  <c r="E25"/>
  <c r="E29"/>
  <c r="E21"/>
  <c r="E57"/>
  <c r="E53"/>
  <c r="E16" i="10"/>
  <c r="E17" s="1"/>
  <c r="M36" i="11" l="1"/>
  <c r="AV35"/>
  <c r="L11" i="8"/>
  <c r="L12" s="1"/>
  <c r="L9"/>
  <c r="L10"/>
  <c r="E74" i="9"/>
  <c r="E14"/>
  <c r="E66"/>
  <c r="E19"/>
  <c r="K22" i="3"/>
  <c r="E78" i="9"/>
  <c r="F4" i="10"/>
  <c r="E33" i="2"/>
  <c r="E30" i="4"/>
  <c r="K17" i="3"/>
  <c r="E70" i="9"/>
  <c r="M37" i="11" l="1"/>
  <c r="AV36"/>
  <c r="M9" i="8"/>
  <c r="M10"/>
  <c r="M11"/>
  <c r="M12" s="1"/>
  <c r="E22" i="9"/>
  <c r="F9" i="10"/>
  <c r="H9" s="1"/>
  <c r="H4"/>
  <c r="E7" i="3"/>
  <c r="E34" i="2"/>
  <c r="N9" i="8" l="1"/>
  <c r="N10"/>
  <c r="N11"/>
  <c r="N12" s="1"/>
  <c r="M38" i="11"/>
  <c r="AV37"/>
  <c r="E48" i="4"/>
  <c r="F12" i="10"/>
  <c r="F13"/>
  <c r="H13" s="1"/>
  <c r="E23" i="9"/>
  <c r="M39" i="11" l="1"/>
  <c r="AV38"/>
  <c r="O11" i="8"/>
  <c r="O12" s="1"/>
  <c r="O9"/>
  <c r="O10"/>
  <c r="E26" i="3"/>
  <c r="E46" s="1"/>
  <c r="E48" s="1"/>
  <c r="E26" i="9"/>
  <c r="E27" s="1"/>
  <c r="H16" i="10"/>
  <c r="H17" s="1"/>
  <c r="H12"/>
  <c r="H14" s="1"/>
  <c r="I11" s="1"/>
  <c r="F14"/>
  <c r="F16"/>
  <c r="F17" s="1"/>
  <c r="P11" i="8" l="1"/>
  <c r="P12" s="1"/>
  <c r="P9"/>
  <c r="M40" i="11"/>
  <c r="AV39"/>
  <c r="P10" i="8"/>
  <c r="Q23" i="11"/>
  <c r="R23" s="1"/>
  <c r="H33" i="2"/>
  <c r="M47" i="12" s="1"/>
  <c r="L17" i="3"/>
  <c r="F47"/>
  <c r="L22"/>
  <c r="F33" i="2"/>
  <c r="F30" i="4"/>
  <c r="E67" i="9"/>
  <c r="E30"/>
  <c r="E68"/>
  <c r="Q9" i="8" l="1"/>
  <c r="Q10"/>
  <c r="Q11"/>
  <c r="Q12" s="1"/>
  <c r="AV40" i="11"/>
  <c r="M41"/>
  <c r="AJ23"/>
  <c r="AL23" s="1"/>
  <c r="H7" i="3"/>
  <c r="U23" i="11"/>
  <c r="H30" i="4"/>
  <c r="C35"/>
  <c r="C37" s="1"/>
  <c r="C42"/>
  <c r="C44" s="1"/>
  <c r="F7" i="3"/>
  <c r="F34" i="2"/>
  <c r="E31" i="9"/>
  <c r="R11" i="8" l="1"/>
  <c r="R10"/>
  <c r="R9"/>
  <c r="M42" i="11"/>
  <c r="AV41"/>
  <c r="E14" i="12"/>
  <c r="L25" i="11"/>
  <c r="I13" i="3"/>
  <c r="H20" i="4"/>
  <c r="AA102" i="12" s="1"/>
  <c r="F24" i="11"/>
  <c r="F4" i="12" s="1"/>
  <c r="AC24" i="11"/>
  <c r="E34" i="9"/>
  <c r="H34" i="2"/>
  <c r="F48" i="4"/>
  <c r="AV42" i="11" l="1"/>
  <c r="M43"/>
  <c r="R12" i="8"/>
  <c r="C20" i="4"/>
  <c r="F20" s="1"/>
  <c r="T62" i="12"/>
  <c r="T67" s="1"/>
  <c r="T82" s="1"/>
  <c r="T84" s="1"/>
  <c r="U83" s="1"/>
  <c r="AG24" i="11"/>
  <c r="AI24" s="1"/>
  <c r="G24"/>
  <c r="I6" i="2"/>
  <c r="N23" i="12" s="1"/>
  <c r="N25" s="1"/>
  <c r="H48" i="4"/>
  <c r="AA114" i="12" s="1"/>
  <c r="F26" i="3"/>
  <c r="F46" s="1"/>
  <c r="F48" s="1"/>
  <c r="H48" s="1"/>
  <c r="I47" s="1"/>
  <c r="E35" i="9"/>
  <c r="S10" i="8" l="1"/>
  <c r="S9"/>
  <c r="S11"/>
  <c r="S12" s="1"/>
  <c r="M44" i="11"/>
  <c r="AV43"/>
  <c r="E20" i="4"/>
  <c r="E25" s="1"/>
  <c r="C25"/>
  <c r="C39" s="1"/>
  <c r="D20"/>
  <c r="D25" s="1"/>
  <c r="H26" i="3"/>
  <c r="H46" s="1"/>
  <c r="I8" i="2"/>
  <c r="AH24" i="11"/>
  <c r="J24"/>
  <c r="F6" i="12" s="1"/>
  <c r="AD25" i="11"/>
  <c r="E38" i="9"/>
  <c r="E39" s="1"/>
  <c r="AV44" i="11" l="1"/>
  <c r="M45"/>
  <c r="T11" i="8"/>
  <c r="T10"/>
  <c r="T9"/>
  <c r="T12"/>
  <c r="I21" i="4"/>
  <c r="AK24" i="11"/>
  <c r="K24"/>
  <c r="N24" s="1"/>
  <c r="P24" s="1"/>
  <c r="F25" i="4"/>
  <c r="E71" i="9"/>
  <c r="E42"/>
  <c r="E72"/>
  <c r="M46" i="11" l="1"/>
  <c r="AV45"/>
  <c r="U11" i="8"/>
  <c r="U10"/>
  <c r="U9"/>
  <c r="U12" s="1"/>
  <c r="F12" i="12"/>
  <c r="I18" i="3"/>
  <c r="I15" i="2"/>
  <c r="N29" i="12" s="1"/>
  <c r="AT24" i="11"/>
  <c r="F15" i="12" s="1"/>
  <c r="H25" i="4"/>
  <c r="AA103" i="12" s="1"/>
  <c r="D35" i="4"/>
  <c r="D37" s="1"/>
  <c r="D39" s="1"/>
  <c r="D42"/>
  <c r="D44" s="1"/>
  <c r="E43" i="9"/>
  <c r="V11" i="8" l="1"/>
  <c r="V12" s="1"/>
  <c r="V10"/>
  <c r="V9"/>
  <c r="M47" i="11"/>
  <c r="AV46"/>
  <c r="I18" i="2"/>
  <c r="I20" s="1"/>
  <c r="I5" i="3" s="1"/>
  <c r="J15"/>
  <c r="I11"/>
  <c r="Z25" i="11"/>
  <c r="AW24"/>
  <c r="AU24"/>
  <c r="E46" i="9"/>
  <c r="W11" i="8" l="1"/>
  <c r="W12" s="1"/>
  <c r="W9"/>
  <c r="W10"/>
  <c r="M48" i="11"/>
  <c r="AV47"/>
  <c r="W26"/>
  <c r="AB25"/>
  <c r="AS25" s="1"/>
  <c r="AA25"/>
  <c r="E47" i="9"/>
  <c r="M49" i="11" l="1"/>
  <c r="AV48"/>
  <c r="X11" i="8"/>
  <c r="X9"/>
  <c r="X12"/>
  <c r="X10"/>
  <c r="E50" i="9"/>
  <c r="Y11" i="8" l="1"/>
  <c r="Y12" s="1"/>
  <c r="Y10"/>
  <c r="Y9"/>
  <c r="M50" i="11"/>
  <c r="AV49"/>
  <c r="E75" i="9"/>
  <c r="E51"/>
  <c r="M51" i="11" l="1"/>
  <c r="AV50"/>
  <c r="Z9" i="8"/>
  <c r="Z11"/>
  <c r="Z12"/>
  <c r="Z10"/>
  <c r="E54" i="9"/>
  <c r="E55" s="1"/>
  <c r="E76"/>
  <c r="AA9" i="8" l="1"/>
  <c r="AA10"/>
  <c r="AA11"/>
  <c r="AA12" s="1"/>
  <c r="M52" i="11"/>
  <c r="AV51"/>
  <c r="E58" i="9"/>
  <c r="E42" i="4"/>
  <c r="E44" s="1"/>
  <c r="E35"/>
  <c r="E37" s="1"/>
  <c r="E39" s="1"/>
  <c r="M53" i="11" l="1"/>
  <c r="AV52"/>
  <c r="AB11" i="8"/>
  <c r="AB12" s="1"/>
  <c r="AB10"/>
  <c r="AB9"/>
  <c r="E59" i="9"/>
  <c r="AC9" i="8" l="1"/>
  <c r="AC11"/>
  <c r="AC12" s="1"/>
  <c r="AC10"/>
  <c r="AV53" i="11"/>
  <c r="M54"/>
  <c r="E62" i="9"/>
  <c r="AD11" i="8" l="1"/>
  <c r="AD12" s="1"/>
  <c r="AD9"/>
  <c r="AD10"/>
  <c r="M55" i="11"/>
  <c r="AV54"/>
  <c r="E79" i="9"/>
  <c r="E15"/>
  <c r="E63"/>
  <c r="AE11" i="8" l="1"/>
  <c r="AE12" s="1"/>
  <c r="AE9"/>
  <c r="AE10"/>
  <c r="M56" i="11"/>
  <c r="AV55"/>
  <c r="E13" i="9"/>
  <c r="F11"/>
  <c r="E80"/>
  <c r="F18"/>
  <c r="I42" i="3"/>
  <c r="I24" i="2"/>
  <c r="I25" s="1"/>
  <c r="I32" s="1"/>
  <c r="M57" i="11" l="1"/>
  <c r="AV56"/>
  <c r="AF11" i="8"/>
  <c r="AF9"/>
  <c r="AF12"/>
  <c r="AF10"/>
  <c r="F21" i="9"/>
  <c r="F57"/>
  <c r="F17"/>
  <c r="F61"/>
  <c r="F25"/>
  <c r="F33"/>
  <c r="F45"/>
  <c r="F29"/>
  <c r="F49"/>
  <c r="F37"/>
  <c r="F41"/>
  <c r="F53"/>
  <c r="F42" i="4"/>
  <c r="F35"/>
  <c r="AG9" i="8" l="1"/>
  <c r="AG10"/>
  <c r="AG11"/>
  <c r="AG12" s="1"/>
  <c r="M58" i="11"/>
  <c r="AV57"/>
  <c r="F74" i="9"/>
  <c r="H42" i="4"/>
  <c r="F44"/>
  <c r="H44" s="1"/>
  <c r="F66" i="9"/>
  <c r="F14"/>
  <c r="F19"/>
  <c r="H35" i="4"/>
  <c r="H37" s="1"/>
  <c r="F37"/>
  <c r="F39" s="1"/>
  <c r="F78" i="9"/>
  <c r="F70"/>
  <c r="M59" i="11" l="1"/>
  <c r="AV58"/>
  <c r="AH10" i="8"/>
  <c r="AH9"/>
  <c r="AH11"/>
  <c r="AH12" s="1"/>
  <c r="H39" i="4"/>
  <c r="AA109" i="12" s="1"/>
  <c r="AA107"/>
  <c r="F22" i="9"/>
  <c r="F23" s="1"/>
  <c r="AI9" i="8" l="1"/>
  <c r="AI10"/>
  <c r="AI11"/>
  <c r="AI12" s="1"/>
  <c r="M60" i="11"/>
  <c r="AV59"/>
  <c r="F26" i="9"/>
  <c r="F27" s="1"/>
  <c r="M61" i="11" l="1"/>
  <c r="AV60"/>
  <c r="AJ9" i="8"/>
  <c r="AJ11"/>
  <c r="AJ12" s="1"/>
  <c r="AJ10"/>
  <c r="F30" i="9"/>
  <c r="F68"/>
  <c r="F67"/>
  <c r="AV61" i="11" l="1"/>
  <c r="AV62" s="1"/>
  <c r="M62"/>
  <c r="AK10" i="8"/>
  <c r="AK11"/>
  <c r="AK12" s="1"/>
  <c r="AK9"/>
  <c r="F31" i="9"/>
  <c r="AL9" i="8" l="1"/>
  <c r="AL11"/>
  <c r="AL12" s="1"/>
  <c r="AL10"/>
  <c r="F34" i="9"/>
  <c r="AM9" i="8" l="1"/>
  <c r="AM11"/>
  <c r="AM12" s="1"/>
  <c r="AM10"/>
  <c r="F35" i="9"/>
  <c r="AN9" i="8" l="1"/>
  <c r="AN11"/>
  <c r="AN12" s="1"/>
  <c r="AN10"/>
  <c r="F38" i="9"/>
  <c r="AO9" i="8" l="1"/>
  <c r="AO10"/>
  <c r="AO11"/>
  <c r="AO12" s="1"/>
  <c r="F71" i="9"/>
  <c r="F39"/>
  <c r="AP9" i="8" l="1"/>
  <c r="AP10"/>
  <c r="AP11"/>
  <c r="AP12" s="1"/>
  <c r="F72" i="9"/>
  <c r="F42"/>
  <c r="F43" l="1"/>
  <c r="F46" l="1"/>
  <c r="F47" l="1"/>
  <c r="F50" l="1"/>
  <c r="F51" s="1"/>
  <c r="F54" l="1"/>
  <c r="F76"/>
  <c r="F75"/>
  <c r="F55" l="1"/>
  <c r="F58" l="1"/>
  <c r="F59" l="1"/>
  <c r="F62" l="1"/>
  <c r="F79" l="1"/>
  <c r="F15"/>
  <c r="F63"/>
  <c r="J24" i="2" l="1"/>
  <c r="J25" s="1"/>
  <c r="J42" i="3"/>
  <c r="F80" i="9"/>
  <c r="F13"/>
  <c r="I35" i="4"/>
  <c r="I42"/>
  <c r="I44" s="1"/>
  <c r="G11" i="9"/>
  <c r="G18"/>
  <c r="G49" l="1"/>
  <c r="G37"/>
  <c r="G61"/>
  <c r="G33"/>
  <c r="G25"/>
  <c r="G17"/>
  <c r="G57"/>
  <c r="G29"/>
  <c r="G21"/>
  <c r="G45"/>
  <c r="G53"/>
  <c r="G41"/>
  <c r="G66" l="1"/>
  <c r="G14"/>
  <c r="G19"/>
  <c r="G78"/>
  <c r="G70"/>
  <c r="G74"/>
  <c r="G22" l="1"/>
  <c r="G23" l="1"/>
  <c r="G26" l="1"/>
  <c r="G67" l="1"/>
  <c r="G27"/>
  <c r="G68" l="1"/>
  <c r="G30"/>
  <c r="G31" l="1"/>
  <c r="G34" l="1"/>
  <c r="G35" l="1"/>
  <c r="G38" l="1"/>
  <c r="G71" l="1"/>
  <c r="G39"/>
  <c r="G42" l="1"/>
  <c r="G43" s="1"/>
  <c r="G72"/>
  <c r="G46" l="1"/>
  <c r="G47" l="1"/>
  <c r="G50" l="1"/>
  <c r="G75" l="1"/>
  <c r="G51"/>
  <c r="G76" l="1"/>
  <c r="G54"/>
  <c r="G55" l="1"/>
  <c r="G58" l="1"/>
  <c r="G59" l="1"/>
  <c r="G62" l="1"/>
  <c r="G79" l="1"/>
  <c r="G15"/>
  <c r="G63"/>
  <c r="J35" i="4" l="1"/>
  <c r="J42"/>
  <c r="J44" s="1"/>
  <c r="H11" i="9"/>
  <c r="G80"/>
  <c r="G13"/>
  <c r="H18"/>
  <c r="K24" i="2"/>
  <c r="K25" s="1"/>
  <c r="K42" i="3"/>
  <c r="H45" i="9" l="1"/>
  <c r="H57"/>
  <c r="H41"/>
  <c r="H29"/>
  <c r="H25"/>
  <c r="H49"/>
  <c r="H53"/>
  <c r="H33"/>
  <c r="H61"/>
  <c r="H17"/>
  <c r="H37"/>
  <c r="H21"/>
  <c r="H66" l="1"/>
  <c r="H14"/>
  <c r="H19"/>
  <c r="H78"/>
  <c r="H74"/>
  <c r="H70"/>
  <c r="H22" l="1"/>
  <c r="H23" l="1"/>
  <c r="H26" l="1"/>
  <c r="H67" l="1"/>
  <c r="H27"/>
  <c r="H30" l="1"/>
  <c r="H68"/>
  <c r="H31" l="1"/>
  <c r="H34" l="1"/>
  <c r="H35" l="1"/>
  <c r="H38" l="1"/>
  <c r="H71" l="1"/>
  <c r="H39"/>
  <c r="H42" l="1"/>
  <c r="H43" s="1"/>
  <c r="H72"/>
  <c r="H46" l="1"/>
  <c r="H47" l="1"/>
  <c r="H50" l="1"/>
  <c r="H75" l="1"/>
  <c r="H51"/>
  <c r="H76" l="1"/>
  <c r="H54"/>
  <c r="H55" l="1"/>
  <c r="H58" l="1"/>
  <c r="H59" s="1"/>
  <c r="H62" l="1"/>
  <c r="H79" s="1"/>
  <c r="H63" l="1"/>
  <c r="H15"/>
  <c r="H13" l="1"/>
  <c r="I18"/>
  <c r="H80"/>
  <c r="K35" i="4"/>
  <c r="K42"/>
  <c r="K44" s="1"/>
  <c r="I11" i="9"/>
  <c r="L24" i="2"/>
  <c r="L25" s="1"/>
  <c r="L42" i="3"/>
  <c r="I33" i="9" l="1"/>
  <c r="I21"/>
  <c r="I25"/>
  <c r="I37"/>
  <c r="I41"/>
  <c r="I49"/>
  <c r="I57"/>
  <c r="I29"/>
  <c r="I17"/>
  <c r="I53"/>
  <c r="I61"/>
  <c r="I45"/>
  <c r="I74" l="1"/>
  <c r="I78"/>
  <c r="I14"/>
  <c r="I66"/>
  <c r="I19"/>
  <c r="I70"/>
  <c r="I22" l="1"/>
  <c r="I23" l="1"/>
  <c r="I26" l="1"/>
  <c r="I27" s="1"/>
  <c r="I30" l="1"/>
  <c r="I68"/>
  <c r="I67"/>
  <c r="I31" l="1"/>
  <c r="I34" l="1"/>
  <c r="I35" s="1"/>
  <c r="I38" l="1"/>
  <c r="I71" s="1"/>
  <c r="I39" l="1"/>
  <c r="I42" l="1"/>
  <c r="I72"/>
  <c r="I43" l="1"/>
  <c r="I46" l="1"/>
  <c r="I47" l="1"/>
  <c r="I50" l="1"/>
  <c r="I75" l="1"/>
  <c r="I51"/>
  <c r="I76" l="1"/>
  <c r="I54"/>
  <c r="I55" l="1"/>
  <c r="I58" l="1"/>
  <c r="I59" l="1"/>
  <c r="I62" l="1"/>
  <c r="I79" l="1"/>
  <c r="I15"/>
  <c r="I63"/>
  <c r="I13" l="1"/>
  <c r="L42" i="4"/>
  <c r="L44" s="1"/>
  <c r="J11" i="9"/>
  <c r="I80"/>
  <c r="J18"/>
  <c r="L35" i="4"/>
  <c r="J57" i="9" l="1"/>
  <c r="J37"/>
  <c r="J45"/>
  <c r="J49"/>
  <c r="J17"/>
  <c r="J53"/>
  <c r="J25"/>
  <c r="J21"/>
  <c r="J41"/>
  <c r="J33"/>
  <c r="J61"/>
  <c r="J29"/>
  <c r="J70" l="1"/>
  <c r="J66"/>
  <c r="J14"/>
  <c r="J19"/>
  <c r="J74"/>
  <c r="J78"/>
  <c r="J22" l="1"/>
  <c r="J23" l="1"/>
  <c r="J26" l="1"/>
  <c r="J67" l="1"/>
  <c r="J27"/>
  <c r="J68" l="1"/>
  <c r="J30"/>
  <c r="J31" l="1"/>
  <c r="J34" l="1"/>
  <c r="J35" l="1"/>
  <c r="J38" l="1"/>
  <c r="J71" l="1"/>
  <c r="J39"/>
  <c r="J72" l="1"/>
  <c r="J42"/>
  <c r="J43" l="1"/>
  <c r="J46" l="1"/>
  <c r="J47" s="1"/>
  <c r="J50" l="1"/>
  <c r="J51" s="1"/>
  <c r="J76" l="1"/>
  <c r="J54"/>
  <c r="J75"/>
  <c r="J55" l="1"/>
  <c r="J58" l="1"/>
  <c r="J59" l="1"/>
  <c r="J62" l="1"/>
  <c r="J79" l="1"/>
  <c r="J15"/>
  <c r="J63"/>
  <c r="J13" l="1"/>
  <c r="J80"/>
  <c r="K18"/>
  <c r="K11"/>
  <c r="K25" l="1"/>
  <c r="K45"/>
  <c r="K17"/>
  <c r="K21"/>
  <c r="K33"/>
  <c r="K61"/>
  <c r="K37"/>
  <c r="K29"/>
  <c r="K53"/>
  <c r="K49"/>
  <c r="K57"/>
  <c r="K41"/>
  <c r="K74" l="1"/>
  <c r="K14"/>
  <c r="K66"/>
  <c r="K19"/>
  <c r="K70"/>
  <c r="K78"/>
  <c r="K22" l="1"/>
  <c r="K23" l="1"/>
  <c r="K26" l="1"/>
  <c r="K67" l="1"/>
  <c r="K27"/>
  <c r="K68" l="1"/>
  <c r="K30"/>
  <c r="K31" l="1"/>
  <c r="K34" l="1"/>
  <c r="K35" l="1"/>
  <c r="K38" l="1"/>
  <c r="K71" l="1"/>
  <c r="K39"/>
  <c r="K72" l="1"/>
  <c r="K42"/>
  <c r="K43" s="1"/>
  <c r="K46" l="1"/>
  <c r="K47" l="1"/>
  <c r="K50" l="1"/>
  <c r="K75" l="1"/>
  <c r="K51"/>
  <c r="K54" l="1"/>
  <c r="K76"/>
  <c r="K55" l="1"/>
  <c r="K58" l="1"/>
  <c r="K59" l="1"/>
  <c r="K62" l="1"/>
  <c r="K79" l="1"/>
  <c r="K15"/>
  <c r="K63"/>
  <c r="K80" l="1"/>
  <c r="L11"/>
  <c r="K13"/>
  <c r="L18"/>
  <c r="L57" l="1"/>
  <c r="L61"/>
  <c r="L53"/>
  <c r="L25"/>
  <c r="L21"/>
  <c r="L49"/>
  <c r="L45"/>
  <c r="L29"/>
  <c r="L37"/>
  <c r="L33"/>
  <c r="L17"/>
  <c r="L41"/>
  <c r="L14" l="1"/>
  <c r="L66"/>
  <c r="L19"/>
  <c r="L78"/>
  <c r="L74"/>
  <c r="L70"/>
  <c r="L22" l="1"/>
  <c r="L23" l="1"/>
  <c r="L26" l="1"/>
  <c r="L67" l="1"/>
  <c r="L27"/>
  <c r="L68" l="1"/>
  <c r="L30"/>
  <c r="L31" l="1"/>
  <c r="L34" l="1"/>
  <c r="L35" l="1"/>
  <c r="L38" l="1"/>
  <c r="L71" l="1"/>
  <c r="L39"/>
  <c r="L42" l="1"/>
  <c r="L72"/>
  <c r="L43" l="1"/>
  <c r="L46" l="1"/>
  <c r="L47" l="1"/>
  <c r="L50" l="1"/>
  <c r="L75" l="1"/>
  <c r="L51"/>
  <c r="L76" l="1"/>
  <c r="L54"/>
  <c r="L55" l="1"/>
  <c r="L58" l="1"/>
  <c r="L59" s="1"/>
  <c r="L62" l="1"/>
  <c r="L79" s="1"/>
  <c r="L63" l="1"/>
  <c r="L15"/>
  <c r="L13" l="1"/>
  <c r="L80"/>
  <c r="M11"/>
  <c r="M18"/>
  <c r="M37" l="1"/>
  <c r="M45"/>
  <c r="M17"/>
  <c r="M49"/>
  <c r="M33"/>
  <c r="M29"/>
  <c r="M25"/>
  <c r="M21"/>
  <c r="M53"/>
  <c r="M41"/>
  <c r="M57"/>
  <c r="M61"/>
  <c r="M74" l="1"/>
  <c r="M78"/>
  <c r="M14"/>
  <c r="M66"/>
  <c r="M19"/>
  <c r="M70"/>
  <c r="M23" l="1"/>
  <c r="M22"/>
  <c r="M26" l="1"/>
  <c r="M67" s="1"/>
  <c r="M27" l="1"/>
  <c r="M30" s="1"/>
  <c r="M68" l="1"/>
  <c r="M31"/>
  <c r="M34" s="1"/>
  <c r="M35" l="1"/>
  <c r="M38" l="1"/>
  <c r="M71" l="1"/>
  <c r="M39"/>
  <c r="M42" l="1"/>
  <c r="M43" s="1"/>
  <c r="M72"/>
  <c r="M46" l="1"/>
  <c r="M47" l="1"/>
  <c r="M50" l="1"/>
  <c r="M75" l="1"/>
  <c r="M51"/>
  <c r="M76" l="1"/>
  <c r="M54"/>
  <c r="M55" s="1"/>
  <c r="M58" l="1"/>
  <c r="M59" s="1"/>
  <c r="M15" l="1"/>
  <c r="M63"/>
  <c r="M62"/>
  <c r="M79" s="1"/>
  <c r="M80" l="1"/>
  <c r="N18"/>
  <c r="N11"/>
  <c r="M13"/>
  <c r="N61" l="1"/>
  <c r="N25"/>
  <c r="N29"/>
  <c r="N53"/>
  <c r="N21"/>
  <c r="N41"/>
  <c r="N17"/>
  <c r="N37"/>
  <c r="N45"/>
  <c r="N33"/>
  <c r="N57"/>
  <c r="N49"/>
  <c r="N70" l="1"/>
  <c r="N66"/>
  <c r="N14"/>
  <c r="N19"/>
  <c r="N78"/>
  <c r="N74"/>
  <c r="N22" l="1"/>
  <c r="N23" l="1"/>
  <c r="N27" l="1"/>
  <c r="N26"/>
  <c r="N31" l="1"/>
  <c r="N30"/>
  <c r="N68"/>
  <c r="N67"/>
  <c r="N34" l="1"/>
  <c r="N35" l="1"/>
  <c r="N38" l="1"/>
  <c r="N39" s="1"/>
  <c r="N72" l="1"/>
  <c r="N42"/>
  <c r="N43" s="1"/>
  <c r="N71"/>
  <c r="N46" l="1"/>
  <c r="N47" s="1"/>
  <c r="N50" l="1"/>
  <c r="N75" s="1"/>
  <c r="N51" l="1"/>
  <c r="N54" l="1"/>
  <c r="N55" s="1"/>
  <c r="N76"/>
  <c r="N58" l="1"/>
  <c r="N59" l="1"/>
  <c r="N62" l="1"/>
  <c r="N63" s="1"/>
  <c r="N80" l="1"/>
  <c r="O11"/>
  <c r="N13"/>
  <c r="O18"/>
  <c r="N79"/>
  <c r="N15"/>
  <c r="O37" l="1"/>
  <c r="O25"/>
  <c r="O41"/>
  <c r="O45"/>
  <c r="O57"/>
  <c r="O49"/>
  <c r="O61"/>
  <c r="O53"/>
  <c r="O21"/>
  <c r="O33"/>
  <c r="O17"/>
  <c r="O29"/>
  <c r="O74" l="1"/>
  <c r="O70"/>
  <c r="O78"/>
  <c r="O14"/>
  <c r="O66"/>
  <c r="O19"/>
  <c r="O22" l="1"/>
  <c r="O23" l="1"/>
  <c r="O26" l="1"/>
  <c r="O67" l="1"/>
  <c r="O27"/>
  <c r="O30" l="1"/>
  <c r="O31" s="1"/>
  <c r="O68"/>
  <c r="O34" l="1"/>
  <c r="O35" l="1"/>
  <c r="O38" l="1"/>
  <c r="O71" l="1"/>
  <c r="O39"/>
  <c r="O42" l="1"/>
  <c r="O43" s="1"/>
  <c r="O72"/>
  <c r="O46" l="1"/>
  <c r="O47" s="1"/>
  <c r="O50" l="1"/>
  <c r="O75" s="1"/>
  <c r="O51" l="1"/>
  <c r="O76" l="1"/>
  <c r="O55"/>
  <c r="O54"/>
  <c r="O58" l="1"/>
  <c r="O59" l="1"/>
  <c r="O63" l="1"/>
  <c r="O62"/>
  <c r="O13" l="1"/>
  <c r="P11"/>
  <c r="O80"/>
  <c r="P18"/>
  <c r="O79"/>
  <c r="O15"/>
  <c r="N38" i="12" s="1"/>
  <c r="N39" s="1"/>
  <c r="P33" i="9" l="1"/>
  <c r="P37"/>
  <c r="P53"/>
  <c r="P21"/>
  <c r="P61"/>
  <c r="P25"/>
  <c r="P41"/>
  <c r="P49"/>
  <c r="P57"/>
  <c r="P45"/>
  <c r="P29"/>
  <c r="P17"/>
  <c r="P70" l="1"/>
  <c r="P14"/>
  <c r="P66"/>
  <c r="P19"/>
  <c r="P74"/>
  <c r="P78"/>
  <c r="P22" l="1"/>
  <c r="P23" l="1"/>
  <c r="P26" l="1"/>
  <c r="P67" l="1"/>
  <c r="P27"/>
  <c r="P30" l="1"/>
  <c r="P68"/>
  <c r="P31" l="1"/>
  <c r="P34" l="1"/>
  <c r="P35" l="1"/>
  <c r="P39" l="1"/>
  <c r="P38"/>
  <c r="P42" l="1"/>
  <c r="P43" s="1"/>
  <c r="P72"/>
  <c r="P71"/>
  <c r="P46" l="1"/>
  <c r="P47" s="1"/>
  <c r="P50" l="1"/>
  <c r="P75" s="1"/>
  <c r="P51" l="1"/>
  <c r="P55" l="1"/>
  <c r="P76"/>
  <c r="P54"/>
  <c r="P59" l="1"/>
  <c r="P58"/>
  <c r="P15" l="1"/>
  <c r="O38" i="12" s="1"/>
  <c r="O39" s="1"/>
  <c r="P62" i="9"/>
  <c r="P79" s="1"/>
  <c r="P63" l="1"/>
  <c r="Q18" l="1"/>
  <c r="P13"/>
  <c r="P80"/>
  <c r="Q11"/>
  <c r="Q57" l="1"/>
  <c r="Q49"/>
  <c r="Q41"/>
  <c r="Q61"/>
  <c r="Q25"/>
  <c r="Q53"/>
  <c r="Q29"/>
  <c r="Q45"/>
  <c r="Q33"/>
  <c r="Q21"/>
  <c r="Q37"/>
  <c r="Q17"/>
  <c r="Q74" l="1"/>
  <c r="Q70"/>
  <c r="Q66"/>
  <c r="Q14"/>
  <c r="Q19"/>
  <c r="Q78"/>
  <c r="Q22" l="1"/>
  <c r="Q23" l="1"/>
  <c r="Q26" l="1"/>
  <c r="Q67" l="1"/>
  <c r="Q27"/>
  <c r="Q31" l="1"/>
  <c r="Q68"/>
  <c r="Q30"/>
  <c r="Q34" l="1"/>
  <c r="Q35" l="1"/>
  <c r="Q38" l="1"/>
  <c r="Q71" l="1"/>
  <c r="Q39"/>
  <c r="Q42" l="1"/>
  <c r="Q72"/>
  <c r="Q43" l="1"/>
  <c r="Q47" l="1"/>
  <c r="Q46"/>
  <c r="Q50" l="1"/>
  <c r="Q75" s="1"/>
  <c r="Q51" l="1"/>
  <c r="Q55" l="1"/>
  <c r="Q76"/>
  <c r="Q54"/>
  <c r="Q58" l="1"/>
  <c r="Q59" l="1"/>
  <c r="Q63" l="1"/>
  <c r="Q62"/>
  <c r="Q13" l="1"/>
  <c r="R11"/>
  <c r="Q80"/>
  <c r="R18"/>
  <c r="Q79"/>
  <c r="Q15"/>
  <c r="P38" i="12" s="1"/>
  <c r="P39" s="1"/>
  <c r="R49" i="9" l="1"/>
  <c r="R61"/>
  <c r="R17"/>
  <c r="R21"/>
  <c r="R45"/>
  <c r="R57"/>
  <c r="R25"/>
  <c r="R33"/>
  <c r="R53"/>
  <c r="R37"/>
  <c r="R29"/>
  <c r="R41"/>
  <c r="R78" l="1"/>
  <c r="R66"/>
  <c r="R14"/>
  <c r="R19"/>
  <c r="R70"/>
  <c r="R74"/>
  <c r="R22" l="1"/>
  <c r="R23" l="1"/>
  <c r="R26" l="1"/>
  <c r="R67" l="1"/>
  <c r="R27"/>
  <c r="R68" l="1"/>
  <c r="R31"/>
  <c r="R30"/>
  <c r="R34" l="1"/>
  <c r="R35" l="1"/>
  <c r="R38" l="1"/>
  <c r="R71" l="1"/>
  <c r="R39"/>
  <c r="R72" l="1"/>
  <c r="R42"/>
  <c r="R43" s="1"/>
  <c r="R46" l="1"/>
  <c r="R47" s="1"/>
  <c r="R50" l="1"/>
  <c r="R75" s="1"/>
  <c r="R51" l="1"/>
  <c r="R55" l="1"/>
  <c r="R76"/>
  <c r="R54"/>
  <c r="R58" l="1"/>
  <c r="R59" l="1"/>
  <c r="R62" l="1"/>
  <c r="R63" s="1"/>
  <c r="R13" l="1"/>
  <c r="S11"/>
  <c r="R80"/>
  <c r="S18"/>
  <c r="R79"/>
  <c r="R15"/>
  <c r="Q38" i="12" s="1"/>
  <c r="Q39" s="1"/>
  <c r="S21" i="9" l="1"/>
  <c r="S49"/>
  <c r="S37"/>
  <c r="S25"/>
  <c r="S33"/>
  <c r="S53"/>
  <c r="S41"/>
  <c r="S57"/>
  <c r="S45"/>
  <c r="S61"/>
  <c r="S29"/>
  <c r="S17"/>
  <c r="S66" l="1"/>
  <c r="S14"/>
  <c r="S19"/>
  <c r="S78"/>
  <c r="S70"/>
  <c r="S74"/>
  <c r="S22" l="1"/>
  <c r="S23" l="1"/>
  <c r="S26" l="1"/>
  <c r="S27" s="1"/>
  <c r="S68" l="1"/>
  <c r="S30"/>
  <c r="S31" s="1"/>
  <c r="S67"/>
  <c r="S34" l="1"/>
  <c r="S35" l="1"/>
  <c r="S38" l="1"/>
  <c r="S39" s="1"/>
  <c r="S42" l="1"/>
  <c r="S43" s="1"/>
  <c r="S72"/>
  <c r="S71"/>
  <c r="S46" l="1"/>
  <c r="S47" s="1"/>
  <c r="S50" l="1"/>
  <c r="S75" s="1"/>
  <c r="S51" l="1"/>
  <c r="S55" l="1"/>
  <c r="S76"/>
  <c r="S54"/>
  <c r="S59" l="1"/>
  <c r="S58"/>
  <c r="S15" l="1"/>
  <c r="S63"/>
  <c r="S62"/>
  <c r="S79" s="1"/>
  <c r="T11" l="1"/>
  <c r="S13"/>
  <c r="S80"/>
  <c r="T18"/>
  <c r="T33" l="1"/>
  <c r="T61"/>
  <c r="T53"/>
  <c r="T57"/>
  <c r="T45"/>
  <c r="T37"/>
  <c r="T21"/>
  <c r="T41"/>
  <c r="T25"/>
  <c r="T49"/>
  <c r="T17"/>
  <c r="T29"/>
  <c r="T66" l="1"/>
  <c r="T14"/>
  <c r="T19"/>
  <c r="T78"/>
  <c r="T70"/>
  <c r="T74"/>
  <c r="T22" l="1"/>
  <c r="T23" l="1"/>
  <c r="T26" l="1"/>
  <c r="T67" l="1"/>
  <c r="T27"/>
  <c r="T31" l="1"/>
  <c r="T68"/>
  <c r="T30"/>
  <c r="T34" l="1"/>
  <c r="T35" l="1"/>
  <c r="T38" l="1"/>
  <c r="T71" l="1"/>
  <c r="T39"/>
  <c r="T42" l="1"/>
  <c r="T72"/>
  <c r="T43" l="1"/>
  <c r="T46" l="1"/>
  <c r="T47" l="1"/>
  <c r="T50" l="1"/>
  <c r="T75" l="1"/>
  <c r="T51"/>
  <c r="T76" l="1"/>
  <c r="T55"/>
  <c r="T54"/>
  <c r="T58" l="1"/>
  <c r="T59" s="1"/>
  <c r="T15" l="1"/>
  <c r="T62"/>
  <c r="T79" s="1"/>
  <c r="T63" l="1"/>
  <c r="T13" l="1"/>
  <c r="U18"/>
  <c r="T80"/>
  <c r="U11"/>
  <c r="U37" l="1"/>
  <c r="U49"/>
  <c r="U33"/>
  <c r="U57"/>
  <c r="U41"/>
  <c r="U29"/>
  <c r="U61"/>
  <c r="U25"/>
  <c r="U53"/>
  <c r="U21"/>
  <c r="U45"/>
  <c r="U17"/>
  <c r="U14" l="1"/>
  <c r="U66"/>
  <c r="U19"/>
  <c r="U78"/>
  <c r="U74"/>
  <c r="U70"/>
  <c r="U22" l="1"/>
  <c r="U23" l="1"/>
  <c r="U26" l="1"/>
  <c r="U67" l="1"/>
  <c r="U27"/>
  <c r="U30" l="1"/>
  <c r="U68"/>
  <c r="U31" l="1"/>
  <c r="U34" l="1"/>
  <c r="U35" l="1"/>
  <c r="U39" l="1"/>
  <c r="U38"/>
  <c r="U42" l="1"/>
  <c r="U72"/>
  <c r="U71"/>
  <c r="U43" l="1"/>
  <c r="U46" l="1"/>
  <c r="U47" l="1"/>
  <c r="U50" l="1"/>
  <c r="U75" l="1"/>
  <c r="U51"/>
  <c r="U55" l="1"/>
  <c r="U76"/>
  <c r="U54"/>
  <c r="U58" l="1"/>
  <c r="U59" l="1"/>
  <c r="U62" l="1"/>
  <c r="U63" s="1"/>
  <c r="U80" l="1"/>
  <c r="U13"/>
  <c r="V18"/>
  <c r="V11"/>
  <c r="U79"/>
  <c r="U15"/>
  <c r="V21" l="1"/>
  <c r="V45"/>
  <c r="V37"/>
  <c r="V61"/>
  <c r="V17"/>
  <c r="V41"/>
  <c r="V33"/>
  <c r="V25"/>
  <c r="V29"/>
  <c r="V49"/>
  <c r="V57"/>
  <c r="V53"/>
  <c r="V14" l="1"/>
  <c r="V66"/>
  <c r="V19"/>
  <c r="V78"/>
  <c r="V70"/>
  <c r="V74"/>
  <c r="V22" l="1"/>
  <c r="V23" l="1"/>
  <c r="V26" l="1"/>
  <c r="V27" s="1"/>
  <c r="V68" l="1"/>
  <c r="V30"/>
  <c r="V31" s="1"/>
  <c r="V67"/>
  <c r="V34" l="1"/>
  <c r="V35" l="1"/>
  <c r="V38" l="1"/>
  <c r="V71" l="1"/>
  <c r="V39"/>
  <c r="V42" l="1"/>
  <c r="V43" s="1"/>
  <c r="V72"/>
  <c r="V46" l="1"/>
  <c r="V47" l="1"/>
  <c r="V50" l="1"/>
  <c r="V75" l="1"/>
  <c r="V51"/>
  <c r="V55" l="1"/>
  <c r="V76"/>
  <c r="V54"/>
  <c r="V59" l="1"/>
  <c r="V58"/>
  <c r="V15" l="1"/>
  <c r="V62"/>
  <c r="V79" s="1"/>
  <c r="V63" l="1"/>
  <c r="W18" s="1"/>
  <c r="V13" l="1"/>
  <c r="W11"/>
  <c r="W41" s="1"/>
  <c r="V80"/>
  <c r="W25" l="1"/>
  <c r="W29"/>
  <c r="W17"/>
  <c r="W19" s="1"/>
  <c r="W53"/>
  <c r="W45"/>
  <c r="W33"/>
  <c r="W57"/>
  <c r="W49"/>
  <c r="W21"/>
  <c r="W37"/>
  <c r="W61"/>
  <c r="W74" l="1"/>
  <c r="W78"/>
  <c r="W70"/>
  <c r="W14"/>
  <c r="W66"/>
  <c r="W22"/>
  <c r="W23" l="1"/>
  <c r="W26" l="1"/>
  <c r="W67" l="1"/>
  <c r="W27"/>
  <c r="W30" l="1"/>
  <c r="W68"/>
  <c r="W31" l="1"/>
  <c r="W34" l="1"/>
  <c r="W35" l="1"/>
  <c r="W38" l="1"/>
  <c r="W71" l="1"/>
  <c r="W39"/>
  <c r="W72" l="1"/>
  <c r="W42"/>
  <c r="W43" s="1"/>
  <c r="W46" l="1"/>
  <c r="W47" s="1"/>
  <c r="W50" l="1"/>
  <c r="W75" s="1"/>
  <c r="W51" l="1"/>
  <c r="W76" l="1"/>
  <c r="W54"/>
  <c r="W55" s="1"/>
  <c r="W58" l="1"/>
  <c r="W59" l="1"/>
  <c r="W62" l="1"/>
  <c r="W63" s="1"/>
  <c r="X11" l="1"/>
  <c r="W13"/>
  <c r="W80"/>
  <c r="X18"/>
  <c r="W79"/>
  <c r="W15"/>
  <c r="X45" l="1"/>
  <c r="X49"/>
  <c r="X17"/>
  <c r="X57"/>
  <c r="X21"/>
  <c r="X37"/>
  <c r="X33"/>
  <c r="X25"/>
  <c r="X41"/>
  <c r="X74" s="1"/>
  <c r="X61"/>
  <c r="X53"/>
  <c r="X29"/>
  <c r="X14" l="1"/>
  <c r="X66"/>
  <c r="X19"/>
  <c r="X78"/>
  <c r="X70"/>
  <c r="X22" l="1"/>
  <c r="X23" l="1"/>
  <c r="X26" l="1"/>
  <c r="X67" l="1"/>
  <c r="X27"/>
  <c r="X30" l="1"/>
  <c r="X68"/>
  <c r="X31" l="1"/>
  <c r="X34" l="1"/>
  <c r="X35" l="1"/>
  <c r="X38" l="1"/>
  <c r="X39" s="1"/>
  <c r="X42" l="1"/>
  <c r="X72"/>
  <c r="X71"/>
  <c r="X43" l="1"/>
  <c r="X46" l="1"/>
  <c r="X47" l="1"/>
  <c r="X50" l="1"/>
  <c r="X75" l="1"/>
  <c r="X51"/>
  <c r="X55" l="1"/>
  <c r="X76"/>
  <c r="X54"/>
  <c r="X58" l="1"/>
  <c r="X59" s="1"/>
  <c r="X15" l="1"/>
  <c r="X62"/>
  <c r="X79" s="1"/>
  <c r="X63" l="1"/>
  <c r="X80" l="1"/>
  <c r="Y18"/>
  <c r="X13"/>
  <c r="Y11"/>
  <c r="Y37" l="1"/>
  <c r="Y25"/>
  <c r="Y17"/>
  <c r="Y29"/>
  <c r="Y61"/>
  <c r="Y49"/>
  <c r="Y41"/>
  <c r="Y21"/>
  <c r="Y33"/>
  <c r="Y57"/>
  <c r="Y45"/>
  <c r="Y53"/>
  <c r="Y74" l="1"/>
  <c r="Y78"/>
  <c r="Y70"/>
  <c r="Y66"/>
  <c r="Y14"/>
  <c r="Y19"/>
  <c r="Y22" l="1"/>
  <c r="Y23" l="1"/>
  <c r="Y26" l="1"/>
  <c r="Y27" s="1"/>
  <c r="Y31" l="1"/>
  <c r="Y30"/>
  <c r="Y68"/>
  <c r="Y67"/>
  <c r="Y34" l="1"/>
  <c r="Y35" s="1"/>
  <c r="Y38" l="1"/>
  <c r="Y71" s="1"/>
  <c r="Y39" l="1"/>
  <c r="Y42" l="1"/>
  <c r="Y72"/>
  <c r="Y43" l="1"/>
  <c r="Y47" l="1"/>
  <c r="Y46"/>
  <c r="Y50" l="1"/>
  <c r="Y75" s="1"/>
  <c r="Y51" l="1"/>
  <c r="Y55" l="1"/>
  <c r="Y76"/>
  <c r="Y54"/>
  <c r="Y58" l="1"/>
  <c r="Y59" l="1"/>
  <c r="Y63" l="1"/>
  <c r="Y62"/>
  <c r="Y13" l="1"/>
  <c r="Z18"/>
  <c r="Y80"/>
  <c r="Z11"/>
  <c r="Y79"/>
  <c r="Y15"/>
  <c r="Z57" l="1"/>
  <c r="Z37"/>
  <c r="Z21"/>
  <c r="Z33"/>
  <c r="Z17"/>
  <c r="Z29"/>
  <c r="Z45"/>
  <c r="Z49"/>
  <c r="Z41"/>
  <c r="Z61"/>
  <c r="Z25"/>
  <c r="Z53"/>
  <c r="Z78" l="1"/>
  <c r="Z66"/>
  <c r="Z14"/>
  <c r="Z19"/>
  <c r="Z74"/>
  <c r="Z70"/>
  <c r="Z22" l="1"/>
  <c r="Z23" l="1"/>
  <c r="Z26" l="1"/>
  <c r="Z67" l="1"/>
  <c r="Z27"/>
  <c r="Z68" l="1"/>
  <c r="Z30"/>
  <c r="Z31" s="1"/>
  <c r="Z34" l="1"/>
  <c r="Z35" l="1"/>
  <c r="Z38" l="1"/>
  <c r="Z71" l="1"/>
  <c r="Z39"/>
  <c r="Z42" l="1"/>
  <c r="Z72"/>
  <c r="Z43" l="1"/>
  <c r="Z46" l="1"/>
  <c r="Z47" s="1"/>
  <c r="Z50" l="1"/>
  <c r="Z75" s="1"/>
  <c r="Z51" l="1"/>
  <c r="Z54" l="1"/>
  <c r="Z76"/>
  <c r="Z55" l="1"/>
  <c r="Z58" l="1"/>
  <c r="Z59" s="1"/>
  <c r="Z62" l="1"/>
  <c r="Z79" s="1"/>
  <c r="Z63" l="1"/>
  <c r="AA11" s="1"/>
  <c r="Z15"/>
  <c r="AA18" l="1"/>
  <c r="Z13"/>
  <c r="Z80"/>
  <c r="AA21"/>
  <c r="AA61"/>
  <c r="AA53"/>
  <c r="AA29"/>
  <c r="AA25"/>
  <c r="AA49"/>
  <c r="AA57"/>
  <c r="AA33"/>
  <c r="AA17"/>
  <c r="AA41"/>
  <c r="AA37"/>
  <c r="AA45"/>
  <c r="AA74" l="1"/>
  <c r="AA66"/>
  <c r="AA14"/>
  <c r="AA19"/>
  <c r="AA78"/>
  <c r="AA70"/>
  <c r="AA22" l="1"/>
  <c r="AA23" l="1"/>
  <c r="AA26" l="1"/>
  <c r="AA27" s="1"/>
  <c r="AA68" l="1"/>
  <c r="AA31"/>
  <c r="AA30"/>
  <c r="AA67"/>
  <c r="AA34" l="1"/>
  <c r="AA35" l="1"/>
  <c r="AA39" l="1"/>
  <c r="AA38"/>
  <c r="AA72" l="1"/>
  <c r="AA42"/>
  <c r="AA43" s="1"/>
  <c r="AA71"/>
  <c r="AA47" l="1"/>
  <c r="AA46"/>
  <c r="AA50" l="1"/>
  <c r="AA75" s="1"/>
  <c r="AA51" l="1"/>
  <c r="AA54" l="1"/>
  <c r="AA76"/>
  <c r="AA55" l="1"/>
  <c r="AA58" l="1"/>
  <c r="AA59" s="1"/>
  <c r="AA63" l="1"/>
  <c r="AA62"/>
  <c r="AA79" s="1"/>
  <c r="AA80" l="1"/>
  <c r="AA13"/>
  <c r="AB11"/>
  <c r="AB18"/>
  <c r="AA15"/>
  <c r="AB21" l="1"/>
  <c r="AB45"/>
  <c r="AB53"/>
  <c r="AB33"/>
  <c r="AB57"/>
  <c r="AB37"/>
  <c r="AB61"/>
  <c r="AB17"/>
  <c r="AB41"/>
  <c r="AB74" s="1"/>
  <c r="AB25"/>
  <c r="AB49"/>
  <c r="AB29"/>
  <c r="AB14" l="1"/>
  <c r="AB66"/>
  <c r="AB19"/>
  <c r="AB78"/>
  <c r="AB70"/>
  <c r="AB22" l="1"/>
  <c r="AB23" s="1"/>
  <c r="AB26" l="1"/>
  <c r="AB67" s="1"/>
  <c r="AB27" l="1"/>
  <c r="AB68" s="1"/>
  <c r="AB30" l="1"/>
  <c r="AB31" s="1"/>
  <c r="AB34" s="1"/>
  <c r="AB35" l="1"/>
  <c r="AB38" l="1"/>
  <c r="AB71" l="1"/>
  <c r="AB39"/>
  <c r="AB42" l="1"/>
  <c r="AB72"/>
  <c r="AB43" l="1"/>
  <c r="AB46" l="1"/>
  <c r="AB47" s="1"/>
  <c r="AB50" l="1"/>
  <c r="AB75" s="1"/>
  <c r="AB51" l="1"/>
  <c r="AB54" l="1"/>
  <c r="AB55" s="1"/>
  <c r="AB76"/>
  <c r="AB58" l="1"/>
  <c r="AB59" s="1"/>
  <c r="AB15" l="1"/>
  <c r="AB62"/>
  <c r="AB79" s="1"/>
  <c r="AB63" l="1"/>
  <c r="AB80" l="1"/>
  <c r="AB13"/>
  <c r="AC18"/>
  <c r="AC11"/>
  <c r="AC49" l="1"/>
  <c r="AC33"/>
  <c r="AC17"/>
  <c r="AC25"/>
  <c r="AC57"/>
  <c r="AC21"/>
  <c r="AC61"/>
  <c r="AC45"/>
  <c r="AC53"/>
  <c r="AC29"/>
  <c r="AC37"/>
  <c r="AC41"/>
  <c r="AC74" l="1"/>
  <c r="AC14"/>
  <c r="AC66"/>
  <c r="AC19"/>
  <c r="AC78"/>
  <c r="AC70"/>
  <c r="AC22" l="1"/>
  <c r="AC23" l="1"/>
  <c r="AC26" l="1"/>
  <c r="AC67" l="1"/>
  <c r="AC27"/>
  <c r="AC68" l="1"/>
  <c r="AC30"/>
  <c r="AC31" l="1"/>
  <c r="AC34" l="1"/>
  <c r="AC35" l="1"/>
  <c r="AC38" l="1"/>
  <c r="AC39" s="1"/>
  <c r="AC42" l="1"/>
  <c r="AC72"/>
  <c r="AC71"/>
  <c r="AC43" l="1"/>
  <c r="AC46" l="1"/>
  <c r="AC47" l="1"/>
  <c r="AC50" l="1"/>
  <c r="AC75" l="1"/>
  <c r="AC51"/>
  <c r="AC55" l="1"/>
  <c r="AC76"/>
  <c r="AC54"/>
  <c r="AC58" l="1"/>
  <c r="AC59" s="1"/>
  <c r="AC15" l="1"/>
  <c r="AC63"/>
  <c r="AC62"/>
  <c r="AC79" s="1"/>
  <c r="AC13" l="1"/>
  <c r="AD18"/>
  <c r="AC80"/>
  <c r="AD11"/>
  <c r="AD37" l="1"/>
  <c r="AD21"/>
  <c r="AD17"/>
  <c r="AD61"/>
  <c r="AD25"/>
  <c r="AD29"/>
  <c r="AD41"/>
  <c r="AD49"/>
  <c r="AD33"/>
  <c r="AD57"/>
  <c r="AD45"/>
  <c r="AD53"/>
  <c r="AD74" l="1"/>
  <c r="AD78"/>
  <c r="AD66"/>
  <c r="AD14"/>
  <c r="AD19"/>
  <c r="AD70"/>
  <c r="AD22" l="1"/>
  <c r="AD23" l="1"/>
  <c r="AD27" l="1"/>
  <c r="AD26"/>
  <c r="AD68" l="1"/>
  <c r="AD30"/>
  <c r="AD31" s="1"/>
  <c r="AD67"/>
  <c r="AD34" l="1"/>
  <c r="AD35" l="1"/>
  <c r="AD38" l="1"/>
  <c r="AD71" l="1"/>
  <c r="AD39"/>
  <c r="AD72" l="1"/>
  <c r="AD43"/>
  <c r="AD42"/>
  <c r="AD46" l="1"/>
  <c r="AD47" s="1"/>
  <c r="AD50" l="1"/>
  <c r="AD75" s="1"/>
  <c r="AD51" l="1"/>
  <c r="AD54" l="1"/>
  <c r="AD76"/>
  <c r="AD55" l="1"/>
  <c r="AD58" l="1"/>
  <c r="AD59" l="1"/>
  <c r="AD63" l="1"/>
  <c r="AD62"/>
  <c r="AD80" l="1"/>
  <c r="AE11"/>
  <c r="AD13"/>
  <c r="AE18"/>
  <c r="AD79"/>
  <c r="AD15"/>
  <c r="AE49" l="1"/>
  <c r="AE25"/>
  <c r="AE41"/>
  <c r="AE33"/>
  <c r="AE45"/>
  <c r="AE53"/>
  <c r="AE29"/>
  <c r="AE21"/>
  <c r="AE57"/>
  <c r="AE17"/>
  <c r="AE61"/>
  <c r="AE37"/>
  <c r="AE70" l="1"/>
  <c r="AE14"/>
  <c r="AE66"/>
  <c r="AE19"/>
  <c r="AE78"/>
  <c r="AE74"/>
  <c r="AE22" l="1"/>
  <c r="AE23" l="1"/>
  <c r="AE26" l="1"/>
  <c r="AE27" s="1"/>
  <c r="AE31" l="1"/>
  <c r="AE30"/>
  <c r="AE68"/>
  <c r="AE67"/>
  <c r="AE34" l="1"/>
  <c r="AE35" l="1"/>
  <c r="AE39" l="1"/>
  <c r="AE38"/>
  <c r="AE72" l="1"/>
  <c r="AE42"/>
  <c r="AE43" s="1"/>
  <c r="AE71"/>
  <c r="AE46" l="1"/>
  <c r="AE47" l="1"/>
  <c r="AE50" l="1"/>
  <c r="AE75" l="1"/>
  <c r="AE51"/>
  <c r="AE55" l="1"/>
  <c r="AE76"/>
  <c r="AE54"/>
  <c r="AE58" l="1"/>
  <c r="AE59" s="1"/>
  <c r="AE15" l="1"/>
  <c r="AE62"/>
  <c r="AE79" s="1"/>
  <c r="AE63" l="1"/>
  <c r="AE80" l="1"/>
  <c r="AE13"/>
  <c r="AF11"/>
  <c r="AF18"/>
  <c r="AF57" l="1"/>
  <c r="AF21"/>
  <c r="AF41"/>
  <c r="AF25"/>
  <c r="AF45"/>
  <c r="AF53"/>
  <c r="AF37"/>
  <c r="AF33"/>
  <c r="AF17"/>
  <c r="AF61"/>
  <c r="AF49"/>
  <c r="AF29"/>
  <c r="AF70" l="1"/>
  <c r="AF78"/>
  <c r="AF66"/>
  <c r="AF14"/>
  <c r="AF19"/>
  <c r="AF74"/>
  <c r="AF22" l="1"/>
  <c r="AF23" l="1"/>
  <c r="AF26" l="1"/>
  <c r="AF27" s="1"/>
  <c r="AF68" l="1"/>
  <c r="AF30"/>
  <c r="AF31" s="1"/>
  <c r="AF67"/>
  <c r="AF34" l="1"/>
  <c r="AF35" s="1"/>
  <c r="AF38" l="1"/>
  <c r="AF71" s="1"/>
  <c r="AF39" l="1"/>
  <c r="AF42" l="1"/>
  <c r="AF72"/>
  <c r="AF43" l="1"/>
  <c r="AF46" l="1"/>
  <c r="AF47" s="1"/>
  <c r="AF50" l="1"/>
  <c r="AF51" l="1"/>
  <c r="AF75"/>
  <c r="AF54" l="1"/>
  <c r="AF76"/>
  <c r="AF55" l="1"/>
  <c r="AF59" l="1"/>
  <c r="AF58"/>
  <c r="AF62" l="1"/>
  <c r="AF79" s="1"/>
  <c r="AF63" l="1"/>
  <c r="AF15"/>
  <c r="AF13" l="1"/>
  <c r="AG18"/>
  <c r="AF80"/>
  <c r="AG11"/>
  <c r="AG33" l="1"/>
  <c r="AG61"/>
  <c r="AG17"/>
  <c r="AG45"/>
  <c r="AG21"/>
  <c r="AG37"/>
  <c r="AG49"/>
  <c r="AG57"/>
  <c r="AG53"/>
  <c r="AG29"/>
  <c r="AG25"/>
  <c r="AG41"/>
  <c r="AG70" l="1"/>
  <c r="AG66"/>
  <c r="AG14"/>
  <c r="AG19"/>
  <c r="AG74"/>
  <c r="AG78"/>
  <c r="AG22" l="1"/>
  <c r="AG23" l="1"/>
  <c r="AG26" l="1"/>
  <c r="AG67" l="1"/>
  <c r="AG27"/>
  <c r="AG68" l="1"/>
  <c r="AG30"/>
  <c r="AG31" s="1"/>
  <c r="AG34" l="1"/>
  <c r="AG35" s="1"/>
  <c r="AG38" l="1"/>
  <c r="AG39" s="1"/>
  <c r="AG71" l="1"/>
  <c r="AG42"/>
  <c r="AG72"/>
  <c r="AG43" l="1"/>
  <c r="AG46" l="1"/>
  <c r="AG47" s="1"/>
  <c r="AG50" l="1"/>
  <c r="AG75" s="1"/>
  <c r="AG51" l="1"/>
  <c r="AG55" l="1"/>
  <c r="AG76"/>
  <c r="AG54"/>
  <c r="AG58" l="1"/>
  <c r="AG59" l="1"/>
  <c r="AG63" l="1"/>
  <c r="AG62"/>
  <c r="AG79" l="1"/>
  <c r="AG15"/>
  <c r="AG13"/>
  <c r="AH18"/>
  <c r="AG80"/>
  <c r="AH11"/>
  <c r="AH37" l="1"/>
  <c r="AH49"/>
  <c r="AH21"/>
  <c r="AH25"/>
  <c r="AH53"/>
  <c r="AH29"/>
  <c r="AH57"/>
  <c r="AH61"/>
  <c r="AH17"/>
  <c r="AH41"/>
  <c r="AH74" s="1"/>
  <c r="AH45"/>
  <c r="AH33"/>
  <c r="AH78" l="1"/>
  <c r="AH14"/>
  <c r="AH66"/>
  <c r="AH19"/>
  <c r="AH70"/>
  <c r="AH22" l="1"/>
  <c r="AH23" l="1"/>
  <c r="AH26" l="1"/>
  <c r="AH67" l="1"/>
  <c r="AH27"/>
  <c r="AH30" l="1"/>
  <c r="AH68"/>
  <c r="AH31" l="1"/>
  <c r="AH34" l="1"/>
  <c r="AH35" l="1"/>
  <c r="AH38" l="1"/>
  <c r="AH71" l="1"/>
  <c r="AH39"/>
  <c r="AH43" l="1"/>
  <c r="AH42"/>
  <c r="AH72"/>
  <c r="AH46" l="1"/>
  <c r="AH47" s="1"/>
  <c r="AH50" l="1"/>
  <c r="AH75" s="1"/>
  <c r="AH51" l="1"/>
  <c r="AH76" s="1"/>
  <c r="AH54" l="1"/>
  <c r="AH55" s="1"/>
  <c r="AH58" s="1"/>
  <c r="AH59" l="1"/>
  <c r="AH62" s="1"/>
  <c r="AH79" l="1"/>
  <c r="AH15"/>
  <c r="AH63"/>
  <c r="AH80" s="1"/>
  <c r="AH13" l="1"/>
  <c r="AI11"/>
  <c r="AI57" s="1"/>
  <c r="AI18"/>
  <c r="AI29" l="1"/>
  <c r="AI25"/>
  <c r="AI53"/>
  <c r="AI17"/>
  <c r="AI41"/>
  <c r="AI45"/>
  <c r="AI61"/>
  <c r="AI33"/>
  <c r="AI49"/>
  <c r="AI21"/>
  <c r="AI37"/>
  <c r="AI19"/>
  <c r="AI70" l="1"/>
  <c r="AI78"/>
  <c r="AI74"/>
  <c r="AI14"/>
  <c r="AI66"/>
  <c r="AI22"/>
  <c r="AI23" l="1"/>
  <c r="AI26" l="1"/>
  <c r="AI67" l="1"/>
  <c r="AI27"/>
  <c r="AI68" l="1"/>
  <c r="AI30"/>
  <c r="AI31" s="1"/>
  <c r="AI34" l="1"/>
  <c r="AI35" l="1"/>
  <c r="AI38" l="1"/>
  <c r="AI39" s="1"/>
  <c r="AI42" l="1"/>
  <c r="AI72"/>
  <c r="AI71"/>
  <c r="AI43" l="1"/>
  <c r="AI46" l="1"/>
  <c r="AI47" s="1"/>
  <c r="AI50" l="1"/>
  <c r="AI75" s="1"/>
  <c r="AI51" l="1"/>
  <c r="AI54" l="1"/>
  <c r="AI76"/>
  <c r="AI55" l="1"/>
  <c r="AI58" l="1"/>
  <c r="AI59" l="1"/>
  <c r="AI62" l="1"/>
  <c r="AI63" s="1"/>
  <c r="AJ18" l="1"/>
  <c r="AJ11"/>
  <c r="AI13"/>
  <c r="AI80"/>
  <c r="AI79"/>
  <c r="AI15"/>
  <c r="AJ61" l="1"/>
  <c r="AJ25"/>
  <c r="AJ17"/>
  <c r="AJ29"/>
  <c r="AJ37"/>
  <c r="AJ57"/>
  <c r="AJ49"/>
  <c r="AJ33"/>
  <c r="AJ41"/>
  <c r="AJ53"/>
  <c r="AJ21"/>
  <c r="AJ45"/>
  <c r="AJ74" l="1"/>
  <c r="AJ14"/>
  <c r="AJ66"/>
  <c r="AJ19"/>
  <c r="AJ78"/>
  <c r="AJ70"/>
  <c r="AJ23" l="1"/>
  <c r="AJ22"/>
  <c r="AJ26" l="1"/>
  <c r="AJ27" s="1"/>
  <c r="AJ30" l="1"/>
  <c r="AJ31" s="1"/>
  <c r="AJ68"/>
  <c r="AJ67"/>
  <c r="AJ34" l="1"/>
  <c r="AJ35" l="1"/>
  <c r="AJ38" l="1"/>
  <c r="AJ71" l="1"/>
  <c r="AJ39"/>
  <c r="AJ72" l="1"/>
  <c r="AJ42"/>
  <c r="AJ43" s="1"/>
  <c r="AJ46" l="1"/>
  <c r="AJ47" l="1"/>
  <c r="AJ50" l="1"/>
  <c r="AJ75" l="1"/>
  <c r="AJ51"/>
  <c r="AJ55" l="1"/>
  <c r="AJ76"/>
  <c r="AJ54"/>
  <c r="AJ58" l="1"/>
  <c r="AJ59" l="1"/>
  <c r="AJ62" l="1"/>
  <c r="AJ15" l="1"/>
  <c r="AJ79"/>
  <c r="AJ63"/>
  <c r="AJ80" l="1"/>
  <c r="AK18"/>
  <c r="AJ13"/>
  <c r="AK11"/>
  <c r="AK57" l="1"/>
  <c r="AK61"/>
  <c r="AK17"/>
  <c r="AK25"/>
  <c r="AK37"/>
  <c r="AK53"/>
  <c r="AK49"/>
  <c r="AK45"/>
  <c r="AK29"/>
  <c r="AK41"/>
  <c r="AK21"/>
  <c r="AK33"/>
  <c r="AK78" l="1"/>
  <c r="AK70"/>
  <c r="AK66"/>
  <c r="AK14"/>
  <c r="AK19"/>
  <c r="AK74"/>
  <c r="AK22" l="1"/>
  <c r="AK23" l="1"/>
  <c r="AK26" l="1"/>
  <c r="AK27" s="1"/>
  <c r="AK68" l="1"/>
  <c r="AK30"/>
  <c r="AK31" s="1"/>
  <c r="AK67"/>
  <c r="AK34" l="1"/>
  <c r="AK35" s="1"/>
  <c r="AK39" l="1"/>
  <c r="AK38"/>
  <c r="AK71" s="1"/>
  <c r="AK42" l="1"/>
  <c r="AK72"/>
  <c r="AK43" l="1"/>
  <c r="AK46" l="1"/>
  <c r="AK47" l="1"/>
  <c r="AK50" l="1"/>
  <c r="AK75" l="1"/>
  <c r="AK51"/>
  <c r="AK76" l="1"/>
  <c r="AK54"/>
  <c r="AK55" l="1"/>
  <c r="AK59" l="1"/>
  <c r="AK58"/>
  <c r="AK62" l="1"/>
  <c r="AK79" s="1"/>
  <c r="AK63" l="1"/>
  <c r="AL18" s="1"/>
  <c r="AK15"/>
  <c r="AK13" l="1"/>
  <c r="AL11"/>
  <c r="AL61" s="1"/>
  <c r="AK80"/>
  <c r="AL33" l="1"/>
  <c r="AL41"/>
  <c r="AL74" s="1"/>
  <c r="AL53"/>
  <c r="AL21"/>
  <c r="AL45"/>
  <c r="AL57"/>
  <c r="AL29"/>
  <c r="AL70" s="1"/>
  <c r="AL17"/>
  <c r="AL25"/>
  <c r="AL66" s="1"/>
  <c r="AL49"/>
  <c r="AL37"/>
  <c r="AL14"/>
  <c r="AL19"/>
  <c r="AL78"/>
  <c r="AL22" l="1"/>
  <c r="AL23" s="1"/>
  <c r="AL26" l="1"/>
  <c r="AL67" s="1"/>
  <c r="AL27" l="1"/>
  <c r="AL31" l="1"/>
  <c r="AL68"/>
  <c r="AL30"/>
  <c r="AL34" l="1"/>
  <c r="AL35" l="1"/>
  <c r="AL38" l="1"/>
  <c r="AL71" l="1"/>
  <c r="AL39"/>
  <c r="AL42" l="1"/>
  <c r="AL43" s="1"/>
  <c r="AL72"/>
  <c r="AL46" l="1"/>
  <c r="AL47" s="1"/>
  <c r="AL50" l="1"/>
  <c r="AL75" s="1"/>
  <c r="AL51" l="1"/>
  <c r="AL54" l="1"/>
  <c r="AL76"/>
  <c r="AL55" l="1"/>
  <c r="AL58" l="1"/>
  <c r="AL59" l="1"/>
  <c r="AL63" l="1"/>
  <c r="AL62"/>
  <c r="AL80" l="1"/>
  <c r="AM18"/>
  <c r="AM11"/>
  <c r="AL13"/>
  <c r="AL79"/>
  <c r="AL15"/>
  <c r="AM57" l="1"/>
  <c r="AM49"/>
  <c r="AM17"/>
  <c r="AM29"/>
  <c r="AM25"/>
  <c r="AM21"/>
  <c r="AM41"/>
  <c r="AM61"/>
  <c r="AM33"/>
  <c r="AM53"/>
  <c r="AM37"/>
  <c r="AM45"/>
  <c r="AM74" l="1"/>
  <c r="AM66"/>
  <c r="AM14"/>
  <c r="AM19"/>
  <c r="AM70"/>
  <c r="AM78"/>
  <c r="AM22" l="1"/>
  <c r="AM23" l="1"/>
  <c r="AM26" l="1"/>
  <c r="AM67" l="1"/>
  <c r="AM27"/>
  <c r="AM31" l="1"/>
  <c r="AM68"/>
  <c r="AM30"/>
  <c r="AM34" l="1"/>
  <c r="AM35" l="1"/>
  <c r="AM38" l="1"/>
  <c r="AM39" s="1"/>
  <c r="AM72" l="1"/>
  <c r="AM43"/>
  <c r="AM42"/>
  <c r="AM71"/>
  <c r="AM46" l="1"/>
  <c r="AM47" s="1"/>
  <c r="AM50" l="1"/>
  <c r="AM75" s="1"/>
  <c r="AM51" l="1"/>
  <c r="AM54" l="1"/>
  <c r="AM76"/>
  <c r="AM55" l="1"/>
  <c r="AM59" l="1"/>
  <c r="AM58"/>
  <c r="AM62" l="1"/>
  <c r="AM79" s="1"/>
  <c r="AM63" l="1"/>
  <c r="AM80" s="1"/>
  <c r="AM15"/>
  <c r="AN18" l="1"/>
  <c r="AN11"/>
  <c r="AN57" s="1"/>
  <c r="AM13"/>
  <c r="AN25"/>
  <c r="AN61"/>
  <c r="AN41"/>
  <c r="AN17"/>
  <c r="AN37" l="1"/>
  <c r="AN14" s="1"/>
  <c r="AN45"/>
  <c r="AN21"/>
  <c r="AN33"/>
  <c r="AN53"/>
  <c r="AN78" s="1"/>
  <c r="AN29"/>
  <c r="AN49"/>
  <c r="AN70"/>
  <c r="AN66"/>
  <c r="AN19"/>
  <c r="AN74"/>
  <c r="AN22" l="1"/>
  <c r="AN23" l="1"/>
  <c r="AN26" l="1"/>
  <c r="AN67" l="1"/>
  <c r="AN27"/>
  <c r="AN68" l="1"/>
  <c r="AN30"/>
  <c r="AN31" s="1"/>
  <c r="AN34" l="1"/>
  <c r="AN35" l="1"/>
  <c r="AN38" l="1"/>
  <c r="AN71" l="1"/>
  <c r="AN39"/>
  <c r="AN42" l="1"/>
  <c r="AN72"/>
  <c r="AN43" l="1"/>
  <c r="AN46" l="1"/>
  <c r="AN47" s="1"/>
  <c r="AN50" l="1"/>
  <c r="AN75" s="1"/>
  <c r="AN51" l="1"/>
  <c r="AN54" l="1"/>
  <c r="AN76"/>
  <c r="AN55" l="1"/>
  <c r="AN58" l="1"/>
  <c r="AN59" s="1"/>
  <c r="AN62" l="1"/>
  <c r="AN79" s="1"/>
  <c r="AN63" l="1"/>
  <c r="AO18" s="1"/>
  <c r="AN15"/>
  <c r="AO11" l="1"/>
  <c r="AO57" s="1"/>
  <c r="AN80"/>
  <c r="AN13"/>
  <c r="AO61" l="1"/>
  <c r="AO33"/>
  <c r="AO37"/>
  <c r="AO21"/>
  <c r="AO49"/>
  <c r="AO17"/>
  <c r="AO19" s="1"/>
  <c r="AO29"/>
  <c r="AO25"/>
  <c r="AO53"/>
  <c r="AO45"/>
  <c r="AO41"/>
  <c r="AO74" l="1"/>
  <c r="AO78"/>
  <c r="AO70"/>
  <c r="AO14"/>
  <c r="AO66"/>
  <c r="AO22"/>
  <c r="AO23" s="1"/>
  <c r="AO26" l="1"/>
  <c r="AO67" s="1"/>
  <c r="AO27" l="1"/>
  <c r="AO68" s="1"/>
  <c r="AO30" l="1"/>
  <c r="AO31" s="1"/>
  <c r="AO34" l="1"/>
  <c r="AO35" l="1"/>
  <c r="AO39" l="1"/>
  <c r="AO38"/>
  <c r="AO72" l="1"/>
  <c r="AO42"/>
  <c r="AO71"/>
  <c r="AO43" l="1"/>
  <c r="AO46" l="1"/>
  <c r="AO47" l="1"/>
  <c r="AO50" l="1"/>
  <c r="AO75" l="1"/>
  <c r="AO51"/>
  <c r="AO76" l="1"/>
  <c r="AO54"/>
  <c r="AO55" l="1"/>
  <c r="AO58" l="1"/>
  <c r="AO59" s="1"/>
  <c r="AO62" l="1"/>
  <c r="AO79" s="1"/>
  <c r="AO63" l="1"/>
  <c r="AP18" s="1"/>
  <c r="AO15"/>
  <c r="AP11" l="1"/>
  <c r="AP57" s="1"/>
  <c r="AO13"/>
  <c r="AO80"/>
  <c r="AP37" l="1"/>
  <c r="AP29"/>
  <c r="AP21"/>
  <c r="AP61"/>
  <c r="AP53"/>
  <c r="AP49"/>
  <c r="AP41"/>
  <c r="AP45"/>
  <c r="AP25"/>
  <c r="AP33"/>
  <c r="AP17"/>
  <c r="AP19" s="1"/>
  <c r="AP78" l="1"/>
  <c r="AP70"/>
  <c r="AP14"/>
  <c r="AP74"/>
  <c r="AP66"/>
  <c r="AP22"/>
  <c r="AP23" s="1"/>
  <c r="AP26" l="1"/>
  <c r="AP67" s="1"/>
  <c r="AP27" l="1"/>
  <c r="AP68" s="1"/>
  <c r="AP30" l="1"/>
  <c r="AP31" s="1"/>
  <c r="AP34" s="1"/>
  <c r="AP35" l="1"/>
  <c r="AP38" l="1"/>
  <c r="AP39" s="1"/>
  <c r="AP72" l="1"/>
  <c r="AP42"/>
  <c r="AP71"/>
  <c r="AP43" l="1"/>
  <c r="AP46" l="1"/>
  <c r="AP47" s="1"/>
  <c r="AP50" l="1"/>
  <c r="AP75" s="1"/>
  <c r="AP51" l="1"/>
  <c r="AP76" l="1"/>
  <c r="AP54"/>
  <c r="AP55" l="1"/>
  <c r="AP58" l="1"/>
  <c r="AP59" s="1"/>
  <c r="AP62" l="1"/>
  <c r="AP79" s="1"/>
  <c r="AP63" l="1"/>
  <c r="AP80" s="1"/>
  <c r="AP15"/>
  <c r="AQ11" l="1"/>
  <c r="AQ57" s="1"/>
  <c r="AP13"/>
  <c r="AQ18"/>
  <c r="AQ21" l="1"/>
  <c r="AQ37"/>
  <c r="AQ29"/>
  <c r="AQ49"/>
  <c r="AQ45"/>
  <c r="AQ41"/>
  <c r="AQ17"/>
  <c r="AQ19" s="1"/>
  <c r="AQ61"/>
  <c r="AQ25"/>
  <c r="AQ53"/>
  <c r="AQ33"/>
  <c r="AQ78" l="1"/>
  <c r="AQ70"/>
  <c r="AQ74"/>
  <c r="AQ14"/>
  <c r="AQ66"/>
  <c r="AQ22"/>
  <c r="AQ23" l="1"/>
  <c r="AQ26" l="1"/>
  <c r="AQ67" l="1"/>
  <c r="AQ27"/>
  <c r="AQ31" l="1"/>
  <c r="AQ30"/>
  <c r="AQ68"/>
  <c r="AQ34" l="1"/>
  <c r="AQ35" l="1"/>
  <c r="AQ38" l="1"/>
  <c r="AQ71" l="1"/>
  <c r="AQ39"/>
  <c r="AQ42" l="1"/>
  <c r="AQ43" s="1"/>
  <c r="AQ72"/>
  <c r="AQ47" l="1"/>
  <c r="AQ46"/>
  <c r="AQ50" l="1"/>
  <c r="AQ75" s="1"/>
  <c r="AQ51" l="1"/>
  <c r="AQ54" l="1"/>
  <c r="AQ76"/>
  <c r="AQ55" l="1"/>
  <c r="AQ58" l="1"/>
  <c r="AQ59" l="1"/>
  <c r="AQ63" l="1"/>
  <c r="AQ62"/>
  <c r="AQ80" l="1"/>
  <c r="AQ13"/>
  <c r="AQ79"/>
  <c r="AQ15"/>
  <c r="C5" i="4" l="1"/>
  <c r="H7"/>
  <c r="C6"/>
  <c r="I6"/>
  <c r="AB92" i="12" s="1"/>
  <c r="I5" i="4" l="1"/>
  <c r="AA93" i="12"/>
  <c r="C7" i="4"/>
  <c r="D5" s="1"/>
  <c r="J6"/>
  <c r="AC92" i="12" s="1"/>
  <c r="D6" i="4"/>
  <c r="I7" l="1"/>
  <c r="AB91" i="12"/>
  <c r="I37" i="2"/>
  <c r="N51" i="12" s="1"/>
  <c r="D7" i="4"/>
  <c r="E5" s="1"/>
  <c r="K6"/>
  <c r="AD92" i="12" s="1"/>
  <c r="E6" i="4"/>
  <c r="J5" l="1"/>
  <c r="AB93" i="12"/>
  <c r="E7" i="4"/>
  <c r="F5" s="1"/>
  <c r="F6"/>
  <c r="L6"/>
  <c r="AE92" i="12" s="1"/>
  <c r="AC91" l="1"/>
  <c r="J7" i="4"/>
  <c r="J37" i="2"/>
  <c r="O51" i="12" s="1"/>
  <c r="F7" i="4"/>
  <c r="K5" l="1"/>
  <c r="AC93" i="12"/>
  <c r="C9" i="4"/>
  <c r="H10"/>
  <c r="I9"/>
  <c r="AB95" i="12" s="1"/>
  <c r="H16" i="4"/>
  <c r="AD91" i="12" l="1"/>
  <c r="K37" i="2"/>
  <c r="P51" i="12" s="1"/>
  <c r="K7" i="4"/>
  <c r="H17"/>
  <c r="AA98" i="12"/>
  <c r="I8" i="4"/>
  <c r="AA96" i="12"/>
  <c r="C10" i="4"/>
  <c r="D8" s="1"/>
  <c r="D9"/>
  <c r="C16"/>
  <c r="C17" s="1"/>
  <c r="J9"/>
  <c r="AC95" i="12" s="1"/>
  <c r="I16" i="4"/>
  <c r="AB98" i="12" s="1"/>
  <c r="I38" i="2" l="1"/>
  <c r="N52" i="12" s="1"/>
  <c r="N53" s="1"/>
  <c r="N55" s="1"/>
  <c r="AB94"/>
  <c r="L5" i="4"/>
  <c r="AD93" i="12"/>
  <c r="I4" i="4"/>
  <c r="AA99" i="12"/>
  <c r="I10" i="4"/>
  <c r="K9"/>
  <c r="AD95" i="12" s="1"/>
  <c r="J16" i="4"/>
  <c r="AC98" i="12" s="1"/>
  <c r="D4" i="4"/>
  <c r="C46"/>
  <c r="D10"/>
  <c r="E8" s="1"/>
  <c r="E9"/>
  <c r="D16"/>
  <c r="J8" l="1"/>
  <c r="AC94" i="12" s="1"/>
  <c r="AB96"/>
  <c r="I39" i="2"/>
  <c r="I41" s="1"/>
  <c r="AE91" i="12"/>
  <c r="L37" i="2"/>
  <c r="L7" i="4"/>
  <c r="AE93" i="12" s="1"/>
  <c r="I17" i="4"/>
  <c r="AB90" i="12"/>
  <c r="L9" i="4"/>
  <c r="AE95" i="12" s="1"/>
  <c r="K16" i="4"/>
  <c r="AD98" i="12" s="1"/>
  <c r="D17" i="4"/>
  <c r="E10"/>
  <c r="F8" s="1"/>
  <c r="F9"/>
  <c r="E16"/>
  <c r="I4" i="10"/>
  <c r="J4" i="4" l="1"/>
  <c r="AC90" i="12" s="1"/>
  <c r="AB99"/>
  <c r="J38" i="2"/>
  <c r="O52" i="12" s="1"/>
  <c r="O53" s="1"/>
  <c r="O55" s="1"/>
  <c r="J10" i="4"/>
  <c r="I6" i="10"/>
  <c r="I9" s="1"/>
  <c r="I13" s="1"/>
  <c r="I16" s="1"/>
  <c r="I17" s="1"/>
  <c r="Q51" i="12"/>
  <c r="M37" i="2"/>
  <c r="N37" s="1"/>
  <c r="O37" s="1"/>
  <c r="P37" s="1"/>
  <c r="Q37" s="1"/>
  <c r="L16" i="4"/>
  <c r="AE98" i="12" s="1"/>
  <c r="E4" i="4"/>
  <c r="D46"/>
  <c r="F10"/>
  <c r="F16"/>
  <c r="J17" l="1"/>
  <c r="AC99" i="12" s="1"/>
  <c r="K8" i="4"/>
  <c r="AC96" i="12"/>
  <c r="J39" i="2"/>
  <c r="J41" s="1"/>
  <c r="E17" i="4"/>
  <c r="E46" s="1"/>
  <c r="R37" i="2"/>
  <c r="Q24" i="11"/>
  <c r="I12" i="10"/>
  <c r="I14" s="1"/>
  <c r="J11" s="1"/>
  <c r="I30" i="4"/>
  <c r="I33" i="2"/>
  <c r="N47" i="12" s="1"/>
  <c r="K4" i="4" l="1"/>
  <c r="AD90" i="12" s="1"/>
  <c r="J6" i="10"/>
  <c r="AD94" i="12"/>
  <c r="K38" i="2"/>
  <c r="K10" i="4"/>
  <c r="F4"/>
  <c r="F17" s="1"/>
  <c r="F46" s="1"/>
  <c r="I37"/>
  <c r="AB107" i="12" s="1"/>
  <c r="S37" i="2"/>
  <c r="U24" i="11"/>
  <c r="R24"/>
  <c r="I7" i="3"/>
  <c r="I34" i="2"/>
  <c r="K17" i="4" l="1"/>
  <c r="AD99" i="12" s="1"/>
  <c r="P52"/>
  <c r="P53" s="1"/>
  <c r="P55" s="1"/>
  <c r="K39" i="2"/>
  <c r="L8" i="4"/>
  <c r="AD96" i="12"/>
  <c r="F14"/>
  <c r="N32"/>
  <c r="N34" s="1"/>
  <c r="N46" s="1"/>
  <c r="H46" i="4"/>
  <c r="AA112" i="12" s="1"/>
  <c r="J13" i="3"/>
  <c r="T37" i="2"/>
  <c r="I20" i="4"/>
  <c r="AB102" i="12" s="1"/>
  <c r="L26" i="11"/>
  <c r="AJ24"/>
  <c r="AL24" s="1"/>
  <c r="F25"/>
  <c r="G4" i="12" s="1"/>
  <c r="I48" i="4"/>
  <c r="AB114" i="12" s="1"/>
  <c r="L4" i="4" l="1"/>
  <c r="L17" s="1"/>
  <c r="AE99" i="12" s="1"/>
  <c r="K41" i="2"/>
  <c r="K6" i="10"/>
  <c r="AE94" i="12"/>
  <c r="L38" i="2"/>
  <c r="L10" i="4"/>
  <c r="AE96" i="12" s="1"/>
  <c r="U62"/>
  <c r="I26" i="3"/>
  <c r="I46" s="1"/>
  <c r="I48" s="1"/>
  <c r="J47" s="1"/>
  <c r="U37" i="2"/>
  <c r="G25" i="11"/>
  <c r="J6" i="2"/>
  <c r="O23" i="12" s="1"/>
  <c r="O25" s="1"/>
  <c r="AC25" i="11"/>
  <c r="I25" i="4"/>
  <c r="AE90" i="12" l="1"/>
  <c r="I39" i="4"/>
  <c r="AB103" i="12"/>
  <c r="Q52"/>
  <c r="Q53" s="1"/>
  <c r="Q55" s="1"/>
  <c r="L39" i="2"/>
  <c r="M38"/>
  <c r="U67" i="12"/>
  <c r="V37" i="2"/>
  <c r="J8"/>
  <c r="AG25" i="11"/>
  <c r="AI25" s="1"/>
  <c r="I46" i="4" l="1"/>
  <c r="AB112" i="12" s="1"/>
  <c r="AB109"/>
  <c r="M39" i="2"/>
  <c r="M6" i="10" s="1"/>
  <c r="N38" i="2"/>
  <c r="L41"/>
  <c r="L6" i="10"/>
  <c r="U82" i="12"/>
  <c r="U84" s="1"/>
  <c r="V83" s="1"/>
  <c r="J21" i="4"/>
  <c r="W37" i="2"/>
  <c r="AH25" i="11"/>
  <c r="J25"/>
  <c r="G6" i="12" s="1"/>
  <c r="AD26" i="11"/>
  <c r="N39" i="2" l="1"/>
  <c r="N6" i="10" s="1"/>
  <c r="O38" i="2"/>
  <c r="J18" i="3"/>
  <c r="X37" i="2"/>
  <c r="Z26" i="11"/>
  <c r="AT25"/>
  <c r="AK25"/>
  <c r="K25"/>
  <c r="N25" s="1"/>
  <c r="P25" s="1"/>
  <c r="AU25" l="1"/>
  <c r="G15" i="12"/>
  <c r="P38" i="2"/>
  <c r="O39"/>
  <c r="O6" i="10" s="1"/>
  <c r="G12" i="12"/>
  <c r="AB26" i="11"/>
  <c r="AS26" s="1"/>
  <c r="Y37" i="2"/>
  <c r="AW25" i="11"/>
  <c r="J15" i="2"/>
  <c r="O29" i="12" s="1"/>
  <c r="AA26" i="11"/>
  <c r="W27" l="1"/>
  <c r="Q38" i="2"/>
  <c r="P39"/>
  <c r="P6" i="10" s="1"/>
  <c r="Z37" i="2"/>
  <c r="J18"/>
  <c r="J20" s="1"/>
  <c r="J5" i="3" s="1"/>
  <c r="J11"/>
  <c r="K15"/>
  <c r="J32" i="2" l="1"/>
  <c r="J4" i="10" s="1"/>
  <c r="J9" s="1"/>
  <c r="J13" s="1"/>
  <c r="J16" s="1"/>
  <c r="J17" s="1"/>
  <c r="J33" i="2" s="1"/>
  <c r="O47" i="12" s="1"/>
  <c r="Q39" i="2"/>
  <c r="Q6" i="10" s="1"/>
  <c r="R38" i="2"/>
  <c r="AA37"/>
  <c r="S38" l="1"/>
  <c r="R39"/>
  <c r="R6" i="10" s="1"/>
  <c r="J30" i="4"/>
  <c r="J37" s="1"/>
  <c r="AC107" i="12" s="1"/>
  <c r="Q25" i="11"/>
  <c r="R25" s="1"/>
  <c r="J12" i="10"/>
  <c r="J14" s="1"/>
  <c r="K11" s="1"/>
  <c r="AB37" i="2"/>
  <c r="J7" i="3"/>
  <c r="J34" i="2"/>
  <c r="S39" l="1"/>
  <c r="S6" i="10" s="1"/>
  <c r="T38" i="2"/>
  <c r="AJ25" i="11"/>
  <c r="AL25" s="1"/>
  <c r="AC26" s="1"/>
  <c r="U25"/>
  <c r="K13" i="3"/>
  <c r="AC37" i="2"/>
  <c r="J48" i="4"/>
  <c r="AC114" i="12" s="1"/>
  <c r="U38" i="2" l="1"/>
  <c r="T39"/>
  <c r="T6" i="10" s="1"/>
  <c r="V62" i="12"/>
  <c r="G14"/>
  <c r="O32"/>
  <c r="O34" s="1"/>
  <c r="O46" s="1"/>
  <c r="J20" i="4"/>
  <c r="F26" i="11"/>
  <c r="H4" i="12" s="1"/>
  <c r="L27" i="11"/>
  <c r="J26" i="3"/>
  <c r="J46" s="1"/>
  <c r="J48" s="1"/>
  <c r="K47" s="1"/>
  <c r="AD37" i="2"/>
  <c r="AG26" i="11"/>
  <c r="J25" i="4" l="1"/>
  <c r="AC102" i="12"/>
  <c r="V38" i="2"/>
  <c r="U39"/>
  <c r="U6" i="10" s="1"/>
  <c r="V67" i="12"/>
  <c r="K6" i="2"/>
  <c r="AI26" i="11"/>
  <c r="AD27" s="1"/>
  <c r="G26"/>
  <c r="AE37" i="2"/>
  <c r="Z27" i="11"/>
  <c r="AT26"/>
  <c r="H15" i="12" s="1"/>
  <c r="AH26" i="11"/>
  <c r="J26"/>
  <c r="H6" i="12" s="1"/>
  <c r="J39" i="4" l="1"/>
  <c r="AC103" i="12"/>
  <c r="V39" i="2"/>
  <c r="V6" i="10" s="1"/>
  <c r="W38" i="2"/>
  <c r="V82" i="12"/>
  <c r="V84" s="1"/>
  <c r="W83" s="1"/>
  <c r="K8" i="2"/>
  <c r="K21" i="4" s="1"/>
  <c r="K18" i="3" s="1"/>
  <c r="P23" i="12"/>
  <c r="P25" s="1"/>
  <c r="AB27" i="11"/>
  <c r="AS27" s="1"/>
  <c r="AF37" i="2"/>
  <c r="AU26" i="11"/>
  <c r="AW26"/>
  <c r="AA27"/>
  <c r="AK26"/>
  <c r="K26"/>
  <c r="K15" i="2" s="1"/>
  <c r="P29" i="12" s="1"/>
  <c r="J46" i="4" l="1"/>
  <c r="AC112" i="12" s="1"/>
  <c r="AC109"/>
  <c r="W39" i="2"/>
  <c r="W6" i="10" s="1"/>
  <c r="X38" i="2"/>
  <c r="W28" i="11"/>
  <c r="AG37" i="2"/>
  <c r="N26" i="11"/>
  <c r="P26" s="1"/>
  <c r="K18" i="2"/>
  <c r="K20" s="1"/>
  <c r="K5" i="3" s="1"/>
  <c r="K32" i="2" l="1"/>
  <c r="K4" i="10" s="1"/>
  <c r="Y38" i="2"/>
  <c r="X39"/>
  <c r="X6" i="10" s="1"/>
  <c r="H12" i="12"/>
  <c r="AH37" i="2"/>
  <c r="L15" i="3"/>
  <c r="K11"/>
  <c r="Z38" i="2" l="1"/>
  <c r="Y39"/>
  <c r="Y6" i="10" s="1"/>
  <c r="K9"/>
  <c r="K12" s="1"/>
  <c r="AI37" i="2"/>
  <c r="AA38" l="1"/>
  <c r="Z39"/>
  <c r="Z6" i="10" s="1"/>
  <c r="M34" i="12"/>
  <c r="M46" s="1"/>
  <c r="K13" i="10"/>
  <c r="K16" s="1"/>
  <c r="K17" s="1"/>
  <c r="Q26" i="11" s="1"/>
  <c r="AJ37" i="2"/>
  <c r="AB38" l="1"/>
  <c r="AA39"/>
  <c r="AA6" i="10" s="1"/>
  <c r="K14"/>
  <c r="L11" s="1"/>
  <c r="K30" i="4"/>
  <c r="K37" s="1"/>
  <c r="AD107" i="12" s="1"/>
  <c r="K33" i="2"/>
  <c r="AK37"/>
  <c r="U26" i="11"/>
  <c r="R26"/>
  <c r="AC38" i="2" l="1"/>
  <c r="AB39"/>
  <c r="AB6" i="10" s="1"/>
  <c r="K34" i="2"/>
  <c r="P47" i="12"/>
  <c r="H14"/>
  <c r="AJ26" i="11"/>
  <c r="AL26" s="1"/>
  <c r="AC27" s="1"/>
  <c r="K7" i="3"/>
  <c r="L13" s="1"/>
  <c r="AL37" i="2"/>
  <c r="K20" i="4"/>
  <c r="AD102" i="12" s="1"/>
  <c r="L28" i="11"/>
  <c r="F27"/>
  <c r="I4" i="12" s="1"/>
  <c r="K48" i="4" l="1"/>
  <c r="AD114" i="12" s="1"/>
  <c r="AD38" i="2"/>
  <c r="AC39"/>
  <c r="AC6" i="10" s="1"/>
  <c r="W62" i="12"/>
  <c r="W67" s="1"/>
  <c r="W82" s="1"/>
  <c r="P32"/>
  <c r="P34" s="1"/>
  <c r="P46" s="1"/>
  <c r="AM37" i="2"/>
  <c r="K25" i="4"/>
  <c r="L6" i="2"/>
  <c r="Q23" i="12" s="1"/>
  <c r="Q25" s="1"/>
  <c r="G27" i="11"/>
  <c r="AG27"/>
  <c r="AI27" s="1"/>
  <c r="K39" i="4" l="1"/>
  <c r="AD103" i="12"/>
  <c r="AD39" i="2"/>
  <c r="AD6" i="10" s="1"/>
  <c r="AE38" i="2"/>
  <c r="K26" i="3"/>
  <c r="K46" s="1"/>
  <c r="K48" s="1"/>
  <c r="L47" s="1"/>
  <c r="W84" i="12"/>
  <c r="X83" s="1"/>
  <c r="AN37" i="2"/>
  <c r="L8"/>
  <c r="AH27" i="11"/>
  <c r="J27"/>
  <c r="I6" i="12" s="1"/>
  <c r="AD28" i="11"/>
  <c r="K46" i="4" l="1"/>
  <c r="AD112" i="12" s="1"/>
  <c r="AD109"/>
  <c r="AE39" i="2"/>
  <c r="AE6" i="10" s="1"/>
  <c r="AF38" i="2"/>
  <c r="L21" i="4"/>
  <c r="AO37" i="2"/>
  <c r="AT27" i="11"/>
  <c r="I15" i="12" s="1"/>
  <c r="AK27" i="11"/>
  <c r="K27"/>
  <c r="N27" s="1"/>
  <c r="AG38" i="2" l="1"/>
  <c r="AF39"/>
  <c r="AF6" i="10" s="1"/>
  <c r="L18" i="3"/>
  <c r="AP37" i="2"/>
  <c r="L15"/>
  <c r="Q29" i="12" s="1"/>
  <c r="P27" i="11"/>
  <c r="AW27"/>
  <c r="AU27"/>
  <c r="E17" i="12" s="1"/>
  <c r="Z28" i="11"/>
  <c r="AG39" i="2" l="1"/>
  <c r="AG6" i="10" s="1"/>
  <c r="AH38" i="2"/>
  <c r="I12" i="12"/>
  <c r="AB28" i="11"/>
  <c r="AS28" s="1"/>
  <c r="AQ37" i="2"/>
  <c r="L11" i="3"/>
  <c r="L18" i="2"/>
  <c r="L20" s="1"/>
  <c r="L5" i="3" s="1"/>
  <c r="AA28" i="11"/>
  <c r="L32" i="2" l="1"/>
  <c r="L4" i="10" s="1"/>
  <c r="L9" s="1"/>
  <c r="L12" s="1"/>
  <c r="W29" i="11"/>
  <c r="AH39" i="2"/>
  <c r="AH6" i="10" s="1"/>
  <c r="AI38" i="2"/>
  <c r="AR37"/>
  <c r="AL39"/>
  <c r="AJ38" l="1"/>
  <c r="AI39"/>
  <c r="AI6" i="10" s="1"/>
  <c r="L13"/>
  <c r="L16" s="1"/>
  <c r="L17" s="1"/>
  <c r="L30" i="4" s="1"/>
  <c r="AS37" i="2"/>
  <c r="AL6" i="10"/>
  <c r="AM39" i="2"/>
  <c r="AK38" l="1"/>
  <c r="AK39" s="1"/>
  <c r="AK6" i="10" s="1"/>
  <c r="AJ39" i="2"/>
  <c r="AJ6" i="10" s="1"/>
  <c r="L33" i="2"/>
  <c r="L14" i="10"/>
  <c r="M11" s="1"/>
  <c r="Q27" i="11"/>
  <c r="U27" s="1"/>
  <c r="L37" i="4"/>
  <c r="AE107" i="12" s="1"/>
  <c r="AT37" i="2"/>
  <c r="AM6" i="10"/>
  <c r="AN39" i="2"/>
  <c r="L7" i="3" l="1"/>
  <c r="Q47" i="12"/>
  <c r="I14"/>
  <c r="L29" i="11"/>
  <c r="R27"/>
  <c r="F28"/>
  <c r="G28" s="1"/>
  <c r="L34" i="2"/>
  <c r="L20" i="4"/>
  <c r="AU37" i="2"/>
  <c r="AN6" i="10"/>
  <c r="AO39" i="2"/>
  <c r="L48" i="4" l="1"/>
  <c r="AE114" i="12" s="1"/>
  <c r="X62"/>
  <c r="X67" s="1"/>
  <c r="X82" s="1"/>
  <c r="L25" i="4"/>
  <c r="AE102" i="12"/>
  <c r="AJ27" i="11"/>
  <c r="AL27" s="1"/>
  <c r="AC28" s="1"/>
  <c r="AG28" s="1"/>
  <c r="AH28" s="1"/>
  <c r="Q32" i="12"/>
  <c r="Q34" s="1"/>
  <c r="Q46" s="1"/>
  <c r="AO6" i="10"/>
  <c r="Z29" i="11"/>
  <c r="AB29" s="1"/>
  <c r="AS29" s="1"/>
  <c r="AP39" i="2"/>
  <c r="L39" i="4" l="1"/>
  <c r="AE103" i="12"/>
  <c r="L26" i="3"/>
  <c r="L46" s="1"/>
  <c r="L48" s="1"/>
  <c r="X84" i="12"/>
  <c r="W30" i="11"/>
  <c r="J28"/>
  <c r="AI28"/>
  <c r="AT28" s="1"/>
  <c r="AW28" s="1"/>
  <c r="AP6" i="10"/>
  <c r="AA29" i="11"/>
  <c r="AK28"/>
  <c r="K28"/>
  <c r="AQ39" i="2"/>
  <c r="L46" i="4" l="1"/>
  <c r="AE112" i="12" s="1"/>
  <c r="AE109"/>
  <c r="AD29" i="11"/>
  <c r="AU28"/>
  <c r="N28"/>
  <c r="P28" s="1"/>
  <c r="AQ6" i="10"/>
  <c r="AR39" i="2"/>
  <c r="AR6" i="10" l="1"/>
  <c r="M4"/>
  <c r="M9" s="1"/>
  <c r="AS39" i="2"/>
  <c r="AS6" i="10" l="1"/>
  <c r="M13"/>
  <c r="M16" s="1"/>
  <c r="M17" s="1"/>
  <c r="M12"/>
  <c r="AT39" i="2"/>
  <c r="AT6" i="10" l="1"/>
  <c r="Q28" i="11"/>
  <c r="R28" s="1"/>
  <c r="AJ28" s="1"/>
  <c r="AL28" s="1"/>
  <c r="M14" i="10"/>
  <c r="N11" s="1"/>
  <c r="AU39" i="2"/>
  <c r="AU6" i="10" l="1"/>
  <c r="U28" i="11"/>
  <c r="AC29"/>
  <c r="F29" l="1"/>
  <c r="G29" s="1"/>
  <c r="L30"/>
  <c r="AG29"/>
  <c r="AI29" s="1"/>
  <c r="AH29" l="1"/>
  <c r="J29"/>
  <c r="AD30"/>
  <c r="AK29" l="1"/>
  <c r="K29"/>
  <c r="N29" s="1"/>
  <c r="AT29" l="1"/>
  <c r="P29"/>
  <c r="AU29" l="1"/>
  <c r="AW29"/>
  <c r="Z30"/>
  <c r="N4" i="10"/>
  <c r="N9" s="1"/>
  <c r="AB30" i="11" l="1"/>
  <c r="AS30" s="1"/>
  <c r="N12" i="10"/>
  <c r="N13"/>
  <c r="N16" s="1"/>
  <c r="N17" s="1"/>
  <c r="AA30" i="11"/>
  <c r="W31" l="1"/>
  <c r="Q29"/>
  <c r="R29" s="1"/>
  <c r="AJ29" s="1"/>
  <c r="AL29" s="1"/>
  <c r="N14" i="10"/>
  <c r="O11" s="1"/>
  <c r="U29" i="11" l="1"/>
  <c r="AC30"/>
  <c r="F30" l="1"/>
  <c r="G30" s="1"/>
  <c r="L31"/>
  <c r="AG30"/>
  <c r="AI30" l="1"/>
  <c r="AT30" s="1"/>
  <c r="AH30"/>
  <c r="J30"/>
  <c r="AD31" l="1"/>
  <c r="AU30"/>
  <c r="AW30"/>
  <c r="Z31"/>
  <c r="AK30"/>
  <c r="K30"/>
  <c r="N30" s="1"/>
  <c r="AB31" l="1"/>
  <c r="AS31" s="1"/>
  <c r="P30"/>
  <c r="AA31"/>
  <c r="W32" l="1"/>
  <c r="O4" i="10"/>
  <c r="O9" s="1"/>
  <c r="O12" l="1"/>
  <c r="O13"/>
  <c r="O16" s="1"/>
  <c r="O17" s="1"/>
  <c r="Q30" i="11" l="1"/>
  <c r="R30" s="1"/>
  <c r="AJ30" s="1"/>
  <c r="AL30" s="1"/>
  <c r="O14" i="10"/>
  <c r="P11" s="1"/>
  <c r="U30" i="11" l="1"/>
  <c r="AC31"/>
  <c r="F31" l="1"/>
  <c r="G31" s="1"/>
  <c r="L32"/>
  <c r="AG31"/>
  <c r="AI31" s="1"/>
  <c r="AH31" l="1"/>
  <c r="J31"/>
  <c r="AD32"/>
  <c r="AT31" l="1"/>
  <c r="AK31"/>
  <c r="K31"/>
  <c r="N31" s="1"/>
  <c r="P31" l="1"/>
  <c r="Z32"/>
  <c r="AW31"/>
  <c r="AU31"/>
  <c r="AB32" l="1"/>
  <c r="W33" s="1"/>
  <c r="P4" i="10"/>
  <c r="P9" s="1"/>
  <c r="AA32" i="11"/>
  <c r="P13" i="10" l="1"/>
  <c r="P16" s="1"/>
  <c r="P17" s="1"/>
  <c r="P12"/>
  <c r="Q31" i="11" l="1"/>
  <c r="R31" s="1"/>
  <c r="AJ31" s="1"/>
  <c r="AL31" s="1"/>
  <c r="P14" i="10"/>
  <c r="Q11" s="1"/>
  <c r="U31" i="11" l="1"/>
  <c r="AC32"/>
  <c r="F32" l="1"/>
  <c r="G32" s="1"/>
  <c r="L33"/>
  <c r="AG32"/>
  <c r="AI32" s="1"/>
  <c r="AS32" s="1"/>
  <c r="AH32" l="1"/>
  <c r="J32"/>
  <c r="AD33"/>
  <c r="Z33" l="1"/>
  <c r="AT32"/>
  <c r="AK32"/>
  <c r="K32"/>
  <c r="N32" s="1"/>
  <c r="AB33" l="1"/>
  <c r="AS33" s="1"/>
  <c r="P32"/>
  <c r="AW32"/>
  <c r="AU32"/>
  <c r="AA33"/>
  <c r="W34" l="1"/>
  <c r="F17" i="12"/>
  <c r="Q4" i="10"/>
  <c r="Q9" s="1"/>
  <c r="Q12" l="1"/>
  <c r="Q13"/>
  <c r="Q16" s="1"/>
  <c r="Q17" s="1"/>
  <c r="Q14" l="1"/>
  <c r="R11" s="1"/>
  <c r="Q32" i="11"/>
  <c r="R32" s="1"/>
  <c r="AJ32" s="1"/>
  <c r="AL32" s="1"/>
  <c r="U32" l="1"/>
  <c r="AC33"/>
  <c r="F33" l="1"/>
  <c r="G33" s="1"/>
  <c r="L34"/>
  <c r="AG33"/>
  <c r="AI33" s="1"/>
  <c r="AD34" l="1"/>
  <c r="AT33"/>
  <c r="AH33"/>
  <c r="J33"/>
  <c r="Z34" l="1"/>
  <c r="AU33"/>
  <c r="AW33"/>
  <c r="AK33"/>
  <c r="K33"/>
  <c r="N33" s="1"/>
  <c r="AB34" l="1"/>
  <c r="AS34" s="1"/>
  <c r="AA34"/>
  <c r="P33"/>
  <c r="W35" l="1"/>
  <c r="R4" i="10"/>
  <c r="R9" s="1"/>
  <c r="R13" l="1"/>
  <c r="R16" s="1"/>
  <c r="R17" s="1"/>
  <c r="M48" i="12" s="1"/>
  <c r="R12" i="10"/>
  <c r="Q33" i="11" l="1"/>
  <c r="R33" s="1"/>
  <c r="AJ33" s="1"/>
  <c r="AL33" s="1"/>
  <c r="R14" i="10"/>
  <c r="S11" s="1"/>
  <c r="U33" i="11" l="1"/>
  <c r="AC34"/>
  <c r="F34" l="1"/>
  <c r="G34" s="1"/>
  <c r="L35"/>
  <c r="AG34"/>
  <c r="AI34" s="1"/>
  <c r="AH34" l="1"/>
  <c r="J34"/>
  <c r="AD35"/>
  <c r="AT34" l="1"/>
  <c r="AK34"/>
  <c r="K34"/>
  <c r="N34" s="1"/>
  <c r="P34" l="1"/>
  <c r="Z35"/>
  <c r="AW34"/>
  <c r="AU34"/>
  <c r="AB35" l="1"/>
  <c r="AS35" s="1"/>
  <c r="S4" i="10"/>
  <c r="S9" s="1"/>
  <c r="AA35" i="11"/>
  <c r="W36" l="1"/>
  <c r="S13" i="10"/>
  <c r="S16" s="1"/>
  <c r="S17" s="1"/>
  <c r="N48" i="12" s="1"/>
  <c r="S12" i="10"/>
  <c r="Q34" i="11" l="1"/>
  <c r="R34" s="1"/>
  <c r="AJ34" s="1"/>
  <c r="AL34" s="1"/>
  <c r="S14" i="10"/>
  <c r="T11" s="1"/>
  <c r="U34" i="11" l="1"/>
  <c r="AC35"/>
  <c r="F35" l="1"/>
  <c r="G35" s="1"/>
  <c r="L36"/>
  <c r="AG35"/>
  <c r="AI35" s="1"/>
  <c r="AH35" l="1"/>
  <c r="J35"/>
  <c r="AD36"/>
  <c r="AT35" l="1"/>
  <c r="AK35"/>
  <c r="K35"/>
  <c r="N35" s="1"/>
  <c r="P35" l="1"/>
  <c r="AW35"/>
  <c r="AU35"/>
  <c r="Z36"/>
  <c r="AB36" l="1"/>
  <c r="AS36" s="1"/>
  <c r="AA36"/>
  <c r="T4" i="10"/>
  <c r="T9" s="1"/>
  <c r="W37" i="11" l="1"/>
  <c r="T13" i="10"/>
  <c r="T16" s="1"/>
  <c r="T17" s="1"/>
  <c r="O48" i="12" s="1"/>
  <c r="T12" i="10"/>
  <c r="Q35" i="11" l="1"/>
  <c r="R35" s="1"/>
  <c r="AJ35" s="1"/>
  <c r="AL35" s="1"/>
  <c r="T14" i="10"/>
  <c r="U11" s="1"/>
  <c r="U35" i="11" l="1"/>
  <c r="AC36"/>
  <c r="F36" l="1"/>
  <c r="G36" s="1"/>
  <c r="L37"/>
  <c r="AG36"/>
  <c r="AI36" s="1"/>
  <c r="AH36" l="1"/>
  <c r="J36"/>
  <c r="AD37"/>
  <c r="AT36" l="1"/>
  <c r="K36"/>
  <c r="N36" s="1"/>
  <c r="AK36"/>
  <c r="P36" l="1"/>
  <c r="AU36"/>
  <c r="AW36"/>
  <c r="Z37"/>
  <c r="AB37" l="1"/>
  <c r="AS37" s="1"/>
  <c r="AA37"/>
  <c r="U4" i="10"/>
  <c r="U9" s="1"/>
  <c r="W38" i="11" l="1"/>
  <c r="U12" i="10"/>
  <c r="U13"/>
  <c r="U16" s="1"/>
  <c r="U17" s="1"/>
  <c r="P48" i="12" s="1"/>
  <c r="Q36" i="11" l="1"/>
  <c r="R36" s="1"/>
  <c r="AJ36" s="1"/>
  <c r="AL36" s="1"/>
  <c r="U14" i="10"/>
  <c r="V11" s="1"/>
  <c r="U36" i="11" l="1"/>
  <c r="AC37"/>
  <c r="F37" l="1"/>
  <c r="G37" s="1"/>
  <c r="L38"/>
  <c r="AG37"/>
  <c r="AI37" s="1"/>
  <c r="AH37" l="1"/>
  <c r="J37"/>
  <c r="AD38"/>
  <c r="AT37" l="1"/>
  <c r="AK37"/>
  <c r="K37"/>
  <c r="N37" s="1"/>
  <c r="P37" l="1"/>
  <c r="Z38"/>
  <c r="AU37"/>
  <c r="AW37"/>
  <c r="AB38" l="1"/>
  <c r="AS38" s="1"/>
  <c r="V4" i="10"/>
  <c r="V9" s="1"/>
  <c r="AA38" i="11"/>
  <c r="W39" l="1"/>
  <c r="V13" i="10"/>
  <c r="V16" s="1"/>
  <c r="V17" s="1"/>
  <c r="Q48" i="12" s="1"/>
  <c r="V12" i="10"/>
  <c r="Q37" i="11" l="1"/>
  <c r="R37" s="1"/>
  <c r="AJ37" s="1"/>
  <c r="AL37" s="1"/>
  <c r="V14" i="10"/>
  <c r="W11" s="1"/>
  <c r="U37" i="11" l="1"/>
  <c r="AC38"/>
  <c r="F38" l="1"/>
  <c r="G38" s="1"/>
  <c r="L39"/>
  <c r="AG38"/>
  <c r="AI38" s="1"/>
  <c r="AH38" l="1"/>
  <c r="J38"/>
  <c r="AD39"/>
  <c r="AT38" l="1"/>
  <c r="AK38"/>
  <c r="K38"/>
  <c r="N38" s="1"/>
  <c r="Z39"/>
  <c r="AB39" l="1"/>
  <c r="AS39" s="1"/>
  <c r="P38"/>
  <c r="AA39"/>
  <c r="AU38"/>
  <c r="AW38"/>
  <c r="W40" l="1"/>
  <c r="W4" i="10"/>
  <c r="W9" s="1"/>
  <c r="W13" l="1"/>
  <c r="W16" s="1"/>
  <c r="W17" s="1"/>
  <c r="W12"/>
  <c r="Q38" i="11" l="1"/>
  <c r="R38" s="1"/>
  <c r="AJ38" s="1"/>
  <c r="AL38" s="1"/>
  <c r="W14" i="10"/>
  <c r="X11" s="1"/>
  <c r="U38" i="11" l="1"/>
  <c r="AC39"/>
  <c r="F39" l="1"/>
  <c r="G39" s="1"/>
  <c r="L40"/>
  <c r="AG39"/>
  <c r="AI39" s="1"/>
  <c r="AH39" l="1"/>
  <c r="J39"/>
  <c r="AD40"/>
  <c r="AT39" l="1"/>
  <c r="AK39"/>
  <c r="K39"/>
  <c r="N39" s="1"/>
  <c r="P39" l="1"/>
  <c r="Z40"/>
  <c r="AW39"/>
  <c r="AU39"/>
  <c r="AB40" l="1"/>
  <c r="AS40" s="1"/>
  <c r="AA40"/>
  <c r="X4" i="10"/>
  <c r="X9" s="1"/>
  <c r="W41" i="11" l="1"/>
  <c r="X13" i="10"/>
  <c r="X16" s="1"/>
  <c r="X17" s="1"/>
  <c r="X12"/>
  <c r="Q39" i="11" l="1"/>
  <c r="R39" s="1"/>
  <c r="AJ39" s="1"/>
  <c r="AL39" s="1"/>
  <c r="X14" i="10"/>
  <c r="Y11" s="1"/>
  <c r="U39" i="11" l="1"/>
  <c r="AC40"/>
  <c r="F40" l="1"/>
  <c r="G40" s="1"/>
  <c r="L41"/>
  <c r="AG40"/>
  <c r="AI40" s="1"/>
  <c r="AH40" l="1"/>
  <c r="J40"/>
  <c r="AD41"/>
  <c r="Z41" l="1"/>
  <c r="AT40"/>
  <c r="AK40"/>
  <c r="K40"/>
  <c r="N40" s="1"/>
  <c r="W42" l="1"/>
  <c r="AB41"/>
  <c r="AS41" s="1"/>
  <c r="P40"/>
  <c r="AU40"/>
  <c r="AW40"/>
  <c r="AA41"/>
  <c r="Y4" i="10" l="1"/>
  <c r="Y9" s="1"/>
  <c r="Y12" l="1"/>
  <c r="Y13"/>
  <c r="Y16" s="1"/>
  <c r="Y17" s="1"/>
  <c r="Q40" i="11" l="1"/>
  <c r="U40" s="1"/>
  <c r="L42" s="1"/>
  <c r="Y14" i="10"/>
  <c r="Z11" s="1"/>
  <c r="R40" i="11" l="1"/>
  <c r="AJ40" s="1"/>
  <c r="AL40" s="1"/>
  <c r="AC41" s="1"/>
  <c r="F41"/>
  <c r="G41" s="1"/>
  <c r="AG41" l="1"/>
  <c r="AI41" s="1"/>
  <c r="AH41" l="1"/>
  <c r="J41"/>
  <c r="AD42"/>
  <c r="AT41" l="1"/>
  <c r="AK41"/>
  <c r="K41"/>
  <c r="N41" s="1"/>
  <c r="Z42" l="1"/>
  <c r="P41"/>
  <c r="AU41"/>
  <c r="AW41"/>
  <c r="AB42" l="1"/>
  <c r="W43" s="1"/>
  <c r="AA42"/>
  <c r="Z4" i="10"/>
  <c r="Z9" s="1"/>
  <c r="Z12" l="1"/>
  <c r="Z13"/>
  <c r="Z16" s="1"/>
  <c r="Z17" s="1"/>
  <c r="Z14" l="1"/>
  <c r="AA11" s="1"/>
  <c r="Q41" i="11"/>
  <c r="R41" s="1"/>
  <c r="AJ41" s="1"/>
  <c r="AL41" s="1"/>
  <c r="U41" l="1"/>
  <c r="AC42"/>
  <c r="F42" l="1"/>
  <c r="G42" s="1"/>
  <c r="L43"/>
  <c r="AG42"/>
  <c r="AI42" s="1"/>
  <c r="AS42" s="1"/>
  <c r="AH42" l="1"/>
  <c r="J42"/>
  <c r="AD43"/>
  <c r="AT42" l="1"/>
  <c r="AK42"/>
  <c r="K42"/>
  <c r="N42" s="1"/>
  <c r="P42" l="1"/>
  <c r="Z43"/>
  <c r="AU42"/>
  <c r="AW42"/>
  <c r="G17" i="12" l="1"/>
  <c r="AB43" i="11"/>
  <c r="AS43" s="1"/>
  <c r="AA43"/>
  <c r="AA4" i="10"/>
  <c r="AA9" s="1"/>
  <c r="W44" i="11" l="1"/>
  <c r="AA12" i="10"/>
  <c r="AA13"/>
  <c r="AA16" s="1"/>
  <c r="AA17" s="1"/>
  <c r="AA14" l="1"/>
  <c r="AB11" s="1"/>
  <c r="Q42" i="11"/>
  <c r="R42" s="1"/>
  <c r="AJ42" s="1"/>
  <c r="AL42" s="1"/>
  <c r="U42" l="1"/>
  <c r="AC43"/>
  <c r="F43" l="1"/>
  <c r="G43" s="1"/>
  <c r="L44"/>
  <c r="AG43"/>
  <c r="AI43" s="1"/>
  <c r="AD44" l="1"/>
  <c r="AT43"/>
  <c r="AH43"/>
  <c r="J43"/>
  <c r="Z44" l="1"/>
  <c r="AK43"/>
  <c r="K43"/>
  <c r="N43" s="1"/>
  <c r="AU43"/>
  <c r="AW43"/>
  <c r="AB44" l="1"/>
  <c r="AS44" s="1"/>
  <c r="AA44"/>
  <c r="P43"/>
  <c r="W45" l="1"/>
  <c r="AB4" i="10"/>
  <c r="AB9" s="1"/>
  <c r="AB13" l="1"/>
  <c r="AB16" s="1"/>
  <c r="AB17" s="1"/>
  <c r="AB12"/>
  <c r="Q43" i="11" l="1"/>
  <c r="U43" s="1"/>
  <c r="L45" s="1"/>
  <c r="AB14" i="10"/>
  <c r="AC11" s="1"/>
  <c r="R43" i="11" l="1"/>
  <c r="AJ43" s="1"/>
  <c r="AL43" s="1"/>
  <c r="AC44" s="1"/>
  <c r="F44"/>
  <c r="G44" s="1"/>
  <c r="AG44" l="1"/>
  <c r="AI44" s="1"/>
  <c r="AH44" l="1"/>
  <c r="J44"/>
  <c r="AD45"/>
  <c r="AT44" l="1"/>
  <c r="K44"/>
  <c r="N44" s="1"/>
  <c r="AK44"/>
  <c r="P44" l="1"/>
  <c r="AW44"/>
  <c r="AU44"/>
  <c r="Z45"/>
  <c r="AB45" l="1"/>
  <c r="AS45" s="1"/>
  <c r="AA45"/>
  <c r="AC4" i="10"/>
  <c r="AC9" s="1"/>
  <c r="W46" i="11" l="1"/>
  <c r="AC13" i="10"/>
  <c r="AC16" s="1"/>
  <c r="AC17" s="1"/>
  <c r="AC12"/>
  <c r="Q44" i="11" l="1"/>
  <c r="R44" s="1"/>
  <c r="AJ44" s="1"/>
  <c r="AL44" s="1"/>
  <c r="AC14" i="10"/>
  <c r="AD11" s="1"/>
  <c r="U44" i="11" l="1"/>
  <c r="AC45"/>
  <c r="F45" l="1"/>
  <c r="G45" s="1"/>
  <c r="L46"/>
  <c r="AG45"/>
  <c r="AI45" s="1"/>
  <c r="AH45" l="1"/>
  <c r="J45"/>
  <c r="AD46"/>
  <c r="AT45" l="1"/>
  <c r="AK45"/>
  <c r="K45"/>
  <c r="N45" s="1"/>
  <c r="P45" l="1"/>
  <c r="Z46"/>
  <c r="AU45"/>
  <c r="AW45"/>
  <c r="AB46" l="1"/>
  <c r="AS46" s="1"/>
  <c r="AD4" i="10"/>
  <c r="AD9" s="1"/>
  <c r="AA46" i="11"/>
  <c r="W47" l="1"/>
  <c r="AD13" i="10"/>
  <c r="AD16" s="1"/>
  <c r="AD17" s="1"/>
  <c r="AD12"/>
  <c r="Q45" i="11" l="1"/>
  <c r="R45" s="1"/>
  <c r="AJ45" s="1"/>
  <c r="AL45" s="1"/>
  <c r="AD14" i="10"/>
  <c r="AE11" s="1"/>
  <c r="U45" i="11" l="1"/>
  <c r="AC46"/>
  <c r="F46" l="1"/>
  <c r="G46" s="1"/>
  <c r="L47"/>
  <c r="AG46"/>
  <c r="AI46" s="1"/>
  <c r="AH46" l="1"/>
  <c r="J46"/>
  <c r="AD47"/>
  <c r="AT46" l="1"/>
  <c r="AK46"/>
  <c r="K46"/>
  <c r="N46" s="1"/>
  <c r="P46" l="1"/>
  <c r="AU46"/>
  <c r="AW46"/>
  <c r="Z47"/>
  <c r="AB47" l="1"/>
  <c r="AS47" s="1"/>
  <c r="AA47"/>
  <c r="AE4" i="10"/>
  <c r="AE9" s="1"/>
  <c r="W48" i="11" l="1"/>
  <c r="AE12" i="10"/>
  <c r="AE13"/>
  <c r="AE16" s="1"/>
  <c r="AE17" s="1"/>
  <c r="AE14" l="1"/>
  <c r="AF11" s="1"/>
  <c r="Q47" i="11"/>
  <c r="Q46"/>
  <c r="U46" l="1"/>
  <c r="L48" s="1"/>
  <c r="R46"/>
  <c r="AJ46" s="1"/>
  <c r="AL46" s="1"/>
  <c r="F47" l="1"/>
  <c r="G47" s="1"/>
  <c r="AC47"/>
  <c r="AG47" l="1"/>
  <c r="AI47" s="1"/>
  <c r="AH47" l="1"/>
  <c r="J47"/>
  <c r="AD48"/>
  <c r="AT47" l="1"/>
  <c r="AK47"/>
  <c r="K47"/>
  <c r="N47" s="1"/>
  <c r="U47" l="1"/>
  <c r="L49" s="1"/>
  <c r="P47"/>
  <c r="AW47"/>
  <c r="AU47"/>
  <c r="Z48"/>
  <c r="AB48" l="1"/>
  <c r="AS48" s="1"/>
  <c r="F48"/>
  <c r="G48" s="1"/>
  <c r="AF4" i="10"/>
  <c r="AF9" s="1"/>
  <c r="R47" i="11"/>
  <c r="AJ47" s="1"/>
  <c r="AL47" s="1"/>
  <c r="AA48"/>
  <c r="W49" l="1"/>
  <c r="AF12" i="10"/>
  <c r="AF13"/>
  <c r="AF16" s="1"/>
  <c r="AF17" s="1"/>
  <c r="AC48" i="11"/>
  <c r="AG48" l="1"/>
  <c r="AH48" s="1"/>
  <c r="AF14" i="10"/>
  <c r="AG11" s="1"/>
  <c r="AI48" i="11" l="1"/>
  <c r="AD49" s="1"/>
  <c r="J48"/>
  <c r="Z49"/>
  <c r="AK48"/>
  <c r="K48"/>
  <c r="N48" l="1"/>
  <c r="P48" s="1"/>
  <c r="AT48"/>
  <c r="AU48" s="1"/>
  <c r="AB49"/>
  <c r="AS49" s="1"/>
  <c r="AA49"/>
  <c r="W50" l="1"/>
  <c r="AW48"/>
  <c r="AG4" i="10"/>
  <c r="AG9" s="1"/>
  <c r="AG12" l="1"/>
  <c r="AG13"/>
  <c r="AG16" s="1"/>
  <c r="AG17" s="1"/>
  <c r="AG14" l="1"/>
  <c r="AH11" s="1"/>
  <c r="Q48" i="11"/>
  <c r="R48" s="1"/>
  <c r="AJ48" s="1"/>
  <c r="AL48" s="1"/>
  <c r="U48" l="1"/>
  <c r="AC49"/>
  <c r="F49" l="1"/>
  <c r="G49" s="1"/>
  <c r="L50"/>
  <c r="AG49"/>
  <c r="AI49" s="1"/>
  <c r="AH49" l="1"/>
  <c r="J49"/>
  <c r="AD50"/>
  <c r="AT49" l="1"/>
  <c r="AK49"/>
  <c r="K49"/>
  <c r="N49" s="1"/>
  <c r="P49" l="1"/>
  <c r="AU49"/>
  <c r="AW49"/>
  <c r="Z50"/>
  <c r="W51" l="1"/>
  <c r="AB50"/>
  <c r="AS50" s="1"/>
  <c r="AA50"/>
  <c r="AH4" i="10"/>
  <c r="AH9" s="1"/>
  <c r="AH12" l="1"/>
  <c r="AH13"/>
  <c r="AH16" s="1"/>
  <c r="AH17" s="1"/>
  <c r="AH14" l="1"/>
  <c r="AI11" s="1"/>
  <c r="Q49" i="11"/>
  <c r="R49" s="1"/>
  <c r="AJ49" s="1"/>
  <c r="AL49" s="1"/>
  <c r="U49" l="1"/>
  <c r="AC50"/>
  <c r="F50" l="1"/>
  <c r="G50" s="1"/>
  <c r="L51"/>
  <c r="AG50"/>
  <c r="J50" s="1"/>
  <c r="AI50" l="1"/>
  <c r="AD51" s="1"/>
  <c r="AH50"/>
  <c r="K50" s="1"/>
  <c r="AT50" l="1"/>
  <c r="AK50"/>
  <c r="N50"/>
  <c r="P50" l="1"/>
  <c r="AW50"/>
  <c r="AU50"/>
  <c r="Z51"/>
  <c r="AB51" l="1"/>
  <c r="AS51" s="1"/>
  <c r="AI4" i="10"/>
  <c r="AI9" s="1"/>
  <c r="AA51" i="11"/>
  <c r="W52" l="1"/>
  <c r="AI12" i="10"/>
  <c r="AI13"/>
  <c r="AI16" s="1"/>
  <c r="AI17" s="1"/>
  <c r="AI14" l="1"/>
  <c r="AJ11" s="1"/>
  <c r="Q50" i="11"/>
  <c r="R50" s="1"/>
  <c r="AJ50" s="1"/>
  <c r="AL50" s="1"/>
  <c r="U50" l="1"/>
  <c r="AC51"/>
  <c r="F51" l="1"/>
  <c r="G51" s="1"/>
  <c r="L52"/>
  <c r="AG51"/>
  <c r="J51" s="1"/>
  <c r="AI51" l="1"/>
  <c r="AD52" s="1"/>
  <c r="AH51"/>
  <c r="K51" s="1"/>
  <c r="AK51" l="1"/>
  <c r="N51"/>
  <c r="P51" l="1"/>
  <c r="Z52"/>
  <c r="AT51"/>
  <c r="AB52" l="1"/>
  <c r="W53" s="1"/>
  <c r="AA52"/>
  <c r="AJ4" i="10"/>
  <c r="AJ9" s="1"/>
  <c r="AW51" i="11"/>
  <c r="AU51"/>
  <c r="AJ12" i="10" l="1"/>
  <c r="AJ13"/>
  <c r="AJ16" s="1"/>
  <c r="AJ17" s="1"/>
  <c r="AJ14" l="1"/>
  <c r="AK11" s="1"/>
  <c r="Q51" i="11"/>
  <c r="R51" s="1"/>
  <c r="AJ51" s="1"/>
  <c r="AL51" s="1"/>
  <c r="U51" l="1"/>
  <c r="AC52"/>
  <c r="F52" l="1"/>
  <c r="G52" s="1"/>
  <c r="L53"/>
  <c r="AG52"/>
  <c r="AI52" s="1"/>
  <c r="AS52" s="1"/>
  <c r="AH52" l="1"/>
  <c r="J52"/>
  <c r="AD53"/>
  <c r="AT52" l="1"/>
  <c r="AK52"/>
  <c r="K52"/>
  <c r="N52" s="1"/>
  <c r="P52" l="1"/>
  <c r="AU52"/>
  <c r="AW52"/>
  <c r="Z53"/>
  <c r="H17" i="12" l="1"/>
  <c r="AB53" i="11"/>
  <c r="AS53" s="1"/>
  <c r="AK4" i="10"/>
  <c r="AK9" s="1"/>
  <c r="AL4"/>
  <c r="AL9" s="1"/>
  <c r="AA53" i="11"/>
  <c r="W54" l="1"/>
  <c r="AL12" i="10"/>
  <c r="AK13"/>
  <c r="AK16" s="1"/>
  <c r="AK17" s="1"/>
  <c r="AK12"/>
  <c r="Q52" i="11" l="1"/>
  <c r="R52" s="1"/>
  <c r="AJ52" s="1"/>
  <c r="AL52" s="1"/>
  <c r="AK14" i="10"/>
  <c r="AL11" s="1"/>
  <c r="AL13" l="1"/>
  <c r="AL16" s="1"/>
  <c r="AL17" s="1"/>
  <c r="Q53" i="11" s="1"/>
  <c r="U52"/>
  <c r="AC53"/>
  <c r="AL14" i="10" l="1"/>
  <c r="AM11" s="1"/>
  <c r="F53" i="11"/>
  <c r="G53" s="1"/>
  <c r="L54"/>
  <c r="AG53"/>
  <c r="AI53" s="1"/>
  <c r="AH53" l="1"/>
  <c r="J53"/>
  <c r="AD54"/>
  <c r="AT53" l="1"/>
  <c r="AK53"/>
  <c r="K53"/>
  <c r="N53" s="1"/>
  <c r="Z54" l="1"/>
  <c r="U53"/>
  <c r="L55" s="1"/>
  <c r="P53"/>
  <c r="R53" s="1"/>
  <c r="AJ53" s="1"/>
  <c r="AL53" s="1"/>
  <c r="AU53"/>
  <c r="AW53"/>
  <c r="AB54" l="1"/>
  <c r="AS54" s="1"/>
  <c r="AA54"/>
  <c r="F54"/>
  <c r="G54" s="1"/>
  <c r="AC54"/>
  <c r="W55" l="1"/>
  <c r="AG54"/>
  <c r="AH54" s="1"/>
  <c r="K54" s="1"/>
  <c r="AK54" l="1"/>
  <c r="AI54"/>
  <c r="AD55" s="1"/>
  <c r="J54"/>
  <c r="N54" s="1"/>
  <c r="P54" s="1"/>
  <c r="AM4" i="10" s="1"/>
  <c r="AM9" s="1"/>
  <c r="AT54" i="11" l="1"/>
  <c r="AW54" s="1"/>
  <c r="AM12" i="10"/>
  <c r="AM13"/>
  <c r="AM16" s="1"/>
  <c r="AM17" s="1"/>
  <c r="Z55" i="11"/>
  <c r="AU54" l="1"/>
  <c r="AB55"/>
  <c r="AS55" s="1"/>
  <c r="AM14" i="10"/>
  <c r="AN11" s="1"/>
  <c r="Q54" i="11"/>
  <c r="U54" s="1"/>
  <c r="L56" s="1"/>
  <c r="AA55"/>
  <c r="W56" l="1"/>
  <c r="R54"/>
  <c r="AJ54" s="1"/>
  <c r="AL54" s="1"/>
  <c r="AC55" s="1"/>
  <c r="F55"/>
  <c r="G55" s="1"/>
  <c r="AG55" l="1"/>
  <c r="AH55" s="1"/>
  <c r="J55" l="1"/>
  <c r="AI55"/>
  <c r="Z56"/>
  <c r="AK55"/>
  <c r="K55"/>
  <c r="N55" s="1"/>
  <c r="AD56" l="1"/>
  <c r="AT55"/>
  <c r="AU55" s="1"/>
  <c r="AB56"/>
  <c r="AS56" s="1"/>
  <c r="P55"/>
  <c r="AA56"/>
  <c r="W57" l="1"/>
  <c r="AW55"/>
  <c r="AN4" i="10"/>
  <c r="AN9" s="1"/>
  <c r="AN13" l="1"/>
  <c r="AN16" s="1"/>
  <c r="AN17" s="1"/>
  <c r="AN12"/>
  <c r="Q55" i="11" l="1"/>
  <c r="R55" s="1"/>
  <c r="AJ55" s="1"/>
  <c r="AL55" s="1"/>
  <c r="AN14" i="10"/>
  <c r="AO11" s="1"/>
  <c r="U55" i="11" l="1"/>
  <c r="AC56"/>
  <c r="F56" l="1"/>
  <c r="G56" s="1"/>
  <c r="L57"/>
  <c r="AG56"/>
  <c r="AI56" s="1"/>
  <c r="AH56" l="1"/>
  <c r="J56"/>
  <c r="AD57"/>
  <c r="AT56" l="1"/>
  <c r="AK56"/>
  <c r="K56"/>
  <c r="N56" s="1"/>
  <c r="Z57" l="1"/>
  <c r="P56"/>
  <c r="AW56"/>
  <c r="AU56"/>
  <c r="AB57" l="1"/>
  <c r="AS57" s="1"/>
  <c r="AA57"/>
  <c r="AO4" i="10"/>
  <c r="AO9" s="1"/>
  <c r="W58" i="11" l="1"/>
  <c r="AO13" i="10"/>
  <c r="AO16" s="1"/>
  <c r="AO17" s="1"/>
  <c r="AO12"/>
  <c r="Q56" i="11" l="1"/>
  <c r="R56" s="1"/>
  <c r="AJ56" s="1"/>
  <c r="AL56" s="1"/>
  <c r="AO14" i="10"/>
  <c r="AP11" s="1"/>
  <c r="U56" i="11" l="1"/>
  <c r="AC57"/>
  <c r="F57" l="1"/>
  <c r="G57" s="1"/>
  <c r="L58"/>
  <c r="AG57"/>
  <c r="AI57" s="1"/>
  <c r="AD58" l="1"/>
  <c r="AH57"/>
  <c r="J57"/>
  <c r="AT57" l="1"/>
  <c r="AK57"/>
  <c r="K57"/>
  <c r="N57" s="1"/>
  <c r="Z58" l="1"/>
  <c r="P57"/>
  <c r="AW57"/>
  <c r="AU57"/>
  <c r="AB58" l="1"/>
  <c r="AA58"/>
  <c r="AP4" i="10"/>
  <c r="AP9" s="1"/>
  <c r="W59" i="11" l="1"/>
  <c r="AS58"/>
  <c r="AP13" i="10"/>
  <c r="AP16" s="1"/>
  <c r="AP17" s="1"/>
  <c r="AP12"/>
  <c r="Q57" i="11" l="1"/>
  <c r="R57" s="1"/>
  <c r="AJ57" s="1"/>
  <c r="AL57" s="1"/>
  <c r="AP14" i="10"/>
  <c r="AQ11" s="1"/>
  <c r="U57" i="11" l="1"/>
  <c r="AC58"/>
  <c r="F58" l="1"/>
  <c r="G58" s="1"/>
  <c r="L59"/>
  <c r="AG58"/>
  <c r="AI58" s="1"/>
  <c r="AH58" l="1"/>
  <c r="J58"/>
  <c r="AD59"/>
  <c r="AT58" l="1"/>
  <c r="AK58"/>
  <c r="K58"/>
  <c r="N58" s="1"/>
  <c r="P58" l="1"/>
  <c r="Z59"/>
  <c r="AU58"/>
  <c r="AW58"/>
  <c r="AB59" l="1"/>
  <c r="AQ4" i="10"/>
  <c r="AQ9" s="1"/>
  <c r="AA59" i="11"/>
  <c r="W60" l="1"/>
  <c r="AS59"/>
  <c r="AQ13" i="10"/>
  <c r="AQ16" s="1"/>
  <c r="AQ17" s="1"/>
  <c r="AQ12"/>
  <c r="Q58" i="11" l="1"/>
  <c r="R58" s="1"/>
  <c r="AJ58" s="1"/>
  <c r="AL58" s="1"/>
  <c r="AQ14" i="10"/>
  <c r="AR11" s="1"/>
  <c r="U58" i="11" l="1"/>
  <c r="AC59"/>
  <c r="F59" l="1"/>
  <c r="G59" s="1"/>
  <c r="L60"/>
  <c r="AG59"/>
  <c r="AI59" s="1"/>
  <c r="AH59" l="1"/>
  <c r="J59"/>
  <c r="AD60"/>
  <c r="AT59" l="1"/>
  <c r="AK59"/>
  <c r="K59"/>
  <c r="N59" s="1"/>
  <c r="P59" l="1"/>
  <c r="AW59"/>
  <c r="AU59"/>
  <c r="Z60"/>
  <c r="AB60" l="1"/>
  <c r="AS60" s="1"/>
  <c r="AA60"/>
  <c r="AR4" i="10"/>
  <c r="AR9" s="1"/>
  <c r="W61" i="11" l="1"/>
  <c r="AR12" i="10"/>
  <c r="AR13"/>
  <c r="AR16" s="1"/>
  <c r="AR17" s="1"/>
  <c r="AR14" l="1"/>
  <c r="AS11" s="1"/>
  <c r="Q59" i="11"/>
  <c r="R59" s="1"/>
  <c r="AJ59" s="1"/>
  <c r="AL59" s="1"/>
  <c r="U59" l="1"/>
  <c r="AC60"/>
  <c r="F60" l="1"/>
  <c r="G60" s="1"/>
  <c r="L61"/>
  <c r="AG60"/>
  <c r="AI60" s="1"/>
  <c r="AH60" l="1"/>
  <c r="J60"/>
  <c r="AD61"/>
  <c r="AT60" l="1"/>
  <c r="AK60"/>
  <c r="K60"/>
  <c r="N60" s="1"/>
  <c r="P60" l="1"/>
  <c r="Z61"/>
  <c r="AW60"/>
  <c r="AU60"/>
  <c r="AB61" l="1"/>
  <c r="AS61" s="1"/>
  <c r="AS4" i="10"/>
  <c r="AS9" s="1"/>
  <c r="AA61" i="11"/>
  <c r="W62" l="1"/>
  <c r="AS12" i="10"/>
  <c r="AS13"/>
  <c r="AS16" s="1"/>
  <c r="AS17" s="1"/>
  <c r="Q60" i="11" l="1"/>
  <c r="R60" s="1"/>
  <c r="AJ60" s="1"/>
  <c r="AL60" s="1"/>
  <c r="AS14" i="10"/>
  <c r="AT11" s="1"/>
  <c r="U60" i="11" l="1"/>
  <c r="AC61"/>
  <c r="F61" l="1"/>
  <c r="G61" s="1"/>
  <c r="L62"/>
  <c r="AG61"/>
  <c r="AI61" s="1"/>
  <c r="AH61" l="1"/>
  <c r="J61"/>
  <c r="AT61" l="1"/>
  <c r="AD62"/>
  <c r="AK61"/>
  <c r="K61"/>
  <c r="N61" s="1"/>
  <c r="Z62" l="1"/>
  <c r="AB62" s="1"/>
  <c r="P61"/>
  <c r="AU61"/>
  <c r="AW61"/>
  <c r="AA62" l="1"/>
  <c r="AT4" i="10"/>
  <c r="AT9" s="1"/>
  <c r="AT13" l="1"/>
  <c r="AT16" s="1"/>
  <c r="AT17" s="1"/>
  <c r="AT12"/>
  <c r="Q61" i="11" l="1"/>
  <c r="R61" s="1"/>
  <c r="AJ61" s="1"/>
  <c r="AL61" s="1"/>
  <c r="AT14" i="10"/>
  <c r="AU11" s="1"/>
  <c r="U61" i="11" l="1"/>
  <c r="F62" s="1"/>
  <c r="G62" s="1"/>
  <c r="AC62"/>
  <c r="AG62" l="1"/>
  <c r="AI62" s="1"/>
  <c r="AS62" s="1"/>
  <c r="AT62" l="1"/>
  <c r="AW62" s="1"/>
  <c r="AH62"/>
  <c r="J62"/>
  <c r="AU62" l="1"/>
  <c r="AK62"/>
  <c r="K62"/>
  <c r="N62" s="1"/>
  <c r="I17" i="12" l="1"/>
  <c r="P62" i="11"/>
  <c r="AU4" i="10" l="1"/>
  <c r="AU9" s="1"/>
  <c r="AU13" l="1"/>
  <c r="AU16" s="1"/>
  <c r="AU17" s="1"/>
  <c r="AU12"/>
  <c r="Q62" i="11" l="1"/>
  <c r="R62" s="1"/>
  <c r="AJ62" s="1"/>
  <c r="AL62" s="1"/>
  <c r="AU14" i="10"/>
  <c r="U62" i="11" l="1"/>
</calcChain>
</file>

<file path=xl/sharedStrings.xml><?xml version="1.0" encoding="utf-8"?>
<sst xmlns="http://schemas.openxmlformats.org/spreadsheetml/2006/main" count="663" uniqueCount="397">
  <si>
    <t>General Assumptions</t>
  </si>
  <si>
    <t>Vat Registered</t>
  </si>
  <si>
    <t>Inflation</t>
  </si>
  <si>
    <t>Fixed Asset Depreciation Rates</t>
  </si>
  <si>
    <t>Cash Flow Assumptions</t>
  </si>
  <si>
    <t>Fixed Asset Type</t>
  </si>
  <si>
    <t>Useful Economic Life (Years)</t>
  </si>
  <si>
    <t>Credit Days Sales</t>
  </si>
  <si>
    <t>Land &amp; Buildings</t>
  </si>
  <si>
    <t>Credit Days Purchases</t>
  </si>
  <si>
    <t>Fixtures and Fittings</t>
  </si>
  <si>
    <t>Stock as a % of Monthly Cos</t>
  </si>
  <si>
    <t>Vehicles</t>
  </si>
  <si>
    <t>Machinery</t>
  </si>
  <si>
    <t>Equipment</t>
  </si>
  <si>
    <t>IT</t>
  </si>
  <si>
    <t>Q1</t>
  </si>
  <si>
    <t>Q2</t>
  </si>
  <si>
    <t>Q3</t>
  </si>
  <si>
    <t>Q4</t>
  </si>
  <si>
    <t>Year 1</t>
  </si>
  <si>
    <t>Year 2</t>
  </si>
  <si>
    <t>Year 3</t>
  </si>
  <si>
    <t>Year 4</t>
  </si>
  <si>
    <t>Year 5</t>
  </si>
  <si>
    <t>(£)</t>
  </si>
  <si>
    <t>Turnover</t>
  </si>
  <si>
    <t>Gross Profit</t>
  </si>
  <si>
    <t>(Less Overheads)</t>
  </si>
  <si>
    <t>(Total Overheads)</t>
  </si>
  <si>
    <t>EBITDA</t>
  </si>
  <si>
    <t>(Less Interest)</t>
  </si>
  <si>
    <t>Community Shares</t>
  </si>
  <si>
    <t>Mortgage</t>
  </si>
  <si>
    <t>(Total Interest)</t>
  </si>
  <si>
    <t>(Extra-Ordinary Day 1 Costs)</t>
  </si>
  <si>
    <t>Business Development</t>
  </si>
  <si>
    <t>(Total Extra-Ordinary Day 1 Costs)</t>
  </si>
  <si>
    <t>Net Profit</t>
  </si>
  <si>
    <t>(less Tax)</t>
  </si>
  <si>
    <t>Operating Cash Flows</t>
  </si>
  <si>
    <t>Plus non cash expenses</t>
  </si>
  <si>
    <t>Depreciation</t>
  </si>
  <si>
    <t>Tax Owing</t>
  </si>
  <si>
    <t>Comm Shares Interest</t>
  </si>
  <si>
    <t>Bonds or Loan Stock Interest</t>
  </si>
  <si>
    <t>Mortgage Loan Arrangement Fee</t>
  </si>
  <si>
    <t>VAT Received</t>
  </si>
  <si>
    <t>(Less non expense cash out)</t>
  </si>
  <si>
    <t>Last Years CT</t>
  </si>
  <si>
    <t>Last Years Comm Share Interest</t>
  </si>
  <si>
    <t>VAT Paid</t>
  </si>
  <si>
    <t>Changes in Current Assets</t>
  </si>
  <si>
    <t>(Increase)/Decrease in Stock</t>
  </si>
  <si>
    <t>(Increase)/Decrease in A/R</t>
  </si>
  <si>
    <t>(Increase)/Decrease in Accrued Income</t>
  </si>
  <si>
    <t>(Increase)/Decrease in Prepaid Expenses</t>
  </si>
  <si>
    <t>Changes in Current Liabilities</t>
  </si>
  <si>
    <t>Increase/(Decrease) in A/P</t>
  </si>
  <si>
    <t>Increase/(Decrease) in Unused Grants</t>
  </si>
  <si>
    <t>Increase/(Decrease) in Accrued Expenses</t>
  </si>
  <si>
    <t>Increase/(Decrease) in Unearned Income</t>
  </si>
  <si>
    <t>Net Operating Cash Flows</t>
  </si>
  <si>
    <t>Investing Cash Flows</t>
  </si>
  <si>
    <t>(Purchase of Property Plant and Equipment)</t>
  </si>
  <si>
    <t>Sale of Property Plant and Equipment</t>
  </si>
  <si>
    <t>Net Investing Cash Flows</t>
  </si>
  <si>
    <t>Financing Cash Flows</t>
  </si>
  <si>
    <t>Receiving Loan Stock/ Bonds</t>
  </si>
  <si>
    <t>(Repaying Loan Stock/ Bonds)</t>
  </si>
  <si>
    <t>Raising Share Capital</t>
  </si>
  <si>
    <t>(Share Withdrawal)</t>
  </si>
  <si>
    <t>Receiving Grants</t>
  </si>
  <si>
    <t>Net Financing Cash Flows</t>
  </si>
  <si>
    <t>Net Cash Flows</t>
  </si>
  <si>
    <t>Opening Balance</t>
  </si>
  <si>
    <t>Closing Cash Balance</t>
  </si>
  <si>
    <t>Fixed Assets</t>
  </si>
  <si>
    <t>Current Assets</t>
  </si>
  <si>
    <t>Cash at Bank</t>
  </si>
  <si>
    <t>Accounts Receivable</t>
  </si>
  <si>
    <t>Stock</t>
  </si>
  <si>
    <t>Accrued Income</t>
  </si>
  <si>
    <t>Prepaid Expenses</t>
  </si>
  <si>
    <t>Total Current Assets</t>
  </si>
  <si>
    <t>(Less Current Liaibilites)</t>
  </si>
  <si>
    <t>Accounts Payable</t>
  </si>
  <si>
    <t>VAT Owed</t>
  </si>
  <si>
    <t>CT Owing</t>
  </si>
  <si>
    <t>Unpaid Share Interest</t>
  </si>
  <si>
    <t>Accrued Expenses</t>
  </si>
  <si>
    <t>Unearned Income</t>
  </si>
  <si>
    <t>Unused Grants</t>
  </si>
  <si>
    <t>Mortgages Due this Year</t>
  </si>
  <si>
    <t>Loans Due this Year</t>
  </si>
  <si>
    <t>(Total Current Liabilities)</t>
  </si>
  <si>
    <t>Net Current Assets</t>
  </si>
  <si>
    <t>(Less Long Term Liaibilities)</t>
  </si>
  <si>
    <t>Mortgages Owing</t>
  </si>
  <si>
    <t>Loanstock/ Bonds Owing</t>
  </si>
  <si>
    <t>(Total Long Term Liaibilities)</t>
  </si>
  <si>
    <t>Net Worth</t>
  </si>
  <si>
    <t>Made Up of</t>
  </si>
  <si>
    <t>Retained Earnings</t>
  </si>
  <si>
    <t>Actual Cost</t>
  </si>
  <si>
    <t>% of turnover</t>
  </si>
  <si>
    <t>Weekly Turnover</t>
  </si>
  <si>
    <t>Wages and Salaries</t>
  </si>
  <si>
    <t>Rates</t>
  </si>
  <si>
    <t>Utilities</t>
  </si>
  <si>
    <t>Repairs and Renewals</t>
  </si>
  <si>
    <t>Insurance</t>
  </si>
  <si>
    <t>Marketing</t>
  </si>
  <si>
    <t>Consumables</t>
  </si>
  <si>
    <t>Cleaning/ Waste</t>
  </si>
  <si>
    <t>Profesional Fees</t>
  </si>
  <si>
    <t>Bank Charges</t>
  </si>
  <si>
    <t>Equipment Hire</t>
  </si>
  <si>
    <t>Pay TV</t>
  </si>
  <si>
    <t>Other Costs</t>
  </si>
  <si>
    <t>Overheads excluding Salaries</t>
  </si>
  <si>
    <t>Overheads inc salaries</t>
  </si>
  <si>
    <t>Dashboard</t>
  </si>
  <si>
    <t>VAT Registered</t>
  </si>
  <si>
    <t>Asset Type</t>
  </si>
  <si>
    <t>Length of Useful Life (Years)</t>
  </si>
  <si>
    <t>Total Cost</t>
  </si>
  <si>
    <t>Start Up Cost</t>
  </si>
  <si>
    <t>Country</t>
  </si>
  <si>
    <t>Cash Needed</t>
  </si>
  <si>
    <t>Plus VAT</t>
  </si>
  <si>
    <t>Total Cash Needed</t>
  </si>
  <si>
    <t>Fees And Taxes</t>
  </si>
  <si>
    <t>Type of Purchase</t>
  </si>
  <si>
    <t>Description</t>
  </si>
  <si>
    <t>Cost</t>
  </si>
  <si>
    <t>Number</t>
  </si>
  <si>
    <t>Land Transaction Taxes</t>
  </si>
  <si>
    <t>Commercial</t>
  </si>
  <si>
    <t>VAT</t>
  </si>
  <si>
    <t>Notes</t>
  </si>
  <si>
    <t>Working Capital</t>
  </si>
  <si>
    <t>Type of Cost</t>
  </si>
  <si>
    <t>Staff Time</t>
  </si>
  <si>
    <t>Staff Training</t>
  </si>
  <si>
    <t>(How much stock will you need to carry?)</t>
  </si>
  <si>
    <t>Unpaid invoices to Customers</t>
  </si>
  <si>
    <t>Days of Credit</t>
  </si>
  <si>
    <t>Monthly Sales on Credit</t>
  </si>
  <si>
    <t>Unpaid bill from Suppliers</t>
  </si>
  <si>
    <t>Monthly Bills on Credit</t>
  </si>
  <si>
    <t>Total Needed</t>
  </si>
  <si>
    <t>Covering Initial Losses</t>
  </si>
  <si>
    <t>For now just estimate the amount and put it here</t>
  </si>
  <si>
    <t>We will populate this cell from your Cash Flow later</t>
  </si>
  <si>
    <t>Above</t>
  </si>
  <si>
    <t>Total:</t>
  </si>
  <si>
    <t>Check these bands and percentages are correct here
https://www.gov.uk/stamp-duty-land-tax/nonresidential-and-mixed-rates</t>
  </si>
  <si>
    <t>Check these bands and percentages are correct here
https://www.gov.scot/policies/taxes/land-and-buildings-transaction-tax/</t>
  </si>
  <si>
    <t>Check these bands and percentages are correct here
https://gov.wales/land-transaction-tax-rates-and-bands#section-8959</t>
  </si>
  <si>
    <t>Residential</t>
  </si>
  <si>
    <t>SDLT – England / NI</t>
  </si>
  <si>
    <t>LBTT – Scotland</t>
  </si>
  <si>
    <t>LTT – Wales</t>
  </si>
  <si>
    <t>Band</t>
  </si>
  <si>
    <t>Rate</t>
  </si>
  <si>
    <t>Full cost of band</t>
  </si>
  <si>
    <t>Check these bands and percentages are correct here
https://www.gov.uk/stamp-duty-land-tax/residential-property-rates</t>
  </si>
  <si>
    <t>Check these bands and percentages are correct here:
https://www.gov.scot/policies/taxes/land-and-buildings-transaction-tax/</t>
  </si>
  <si>
    <t>There is an additional 4% surcharge on all bands for corporate bodies buying residential property</t>
  </si>
  <si>
    <t>Check these bands and percentages are correct here:
https://gov.wales/land-transaction-tax-rates-and-bands</t>
  </si>
  <si>
    <t>Amount Raised</t>
  </si>
  <si>
    <t>Proposed Withdrawal Rate</t>
  </si>
  <si>
    <t>Proposed Interest Rate</t>
  </si>
  <si>
    <t>Initial Interest Holiday (Years)</t>
  </si>
  <si>
    <t>Interest Accrued to Share Account</t>
  </si>
  <si>
    <t>Initial Withdrawal Suspension (Years)</t>
  </si>
  <si>
    <t>Year</t>
  </si>
  <si>
    <t>Interest Accrued in Year</t>
  </si>
  <si>
    <t>Interest Paid out in year</t>
  </si>
  <si>
    <t>Loan Amount</t>
  </si>
  <si>
    <t>Loan Arrangement Fee</t>
  </si>
  <si>
    <t>Interest Rate</t>
  </si>
  <si>
    <t>Total Cash Received</t>
  </si>
  <si>
    <t>Length</t>
  </si>
  <si>
    <t>Interest Only</t>
  </si>
  <si>
    <t>No</t>
  </si>
  <si>
    <t>Interest Rate Rises</t>
  </si>
  <si>
    <t>Over</t>
  </si>
  <si>
    <t>Years</t>
  </si>
  <si>
    <t>Monthly Payment</t>
  </si>
  <si>
    <t>Ending Balance</t>
  </si>
  <si>
    <t>Total Payments</t>
  </si>
  <si>
    <t>Total Interest</t>
  </si>
  <si>
    <t>Month 1</t>
  </si>
  <si>
    <t>Payment</t>
  </si>
  <si>
    <t>Interest</t>
  </si>
  <si>
    <t>Balance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</si>
  <si>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</si>
  <si>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</si>
  <si>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</si>
  <si>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</si>
  <si>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</si>
  <si>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</si>
  <si>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</si>
  <si>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</si>
  <si>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</si>
  <si>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</si>
  <si>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</si>
  <si>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Corporation Tax Due</t>
  </si>
  <si>
    <t>Add in Disallowed Expenses</t>
  </si>
  <si>
    <t>Less  untaxed income</t>
  </si>
  <si>
    <t>Less Capital allowances</t>
  </si>
  <si>
    <t>Taxable Profit</t>
  </si>
  <si>
    <t>Losses bought forward</t>
  </si>
  <si>
    <t>Losses Added</t>
  </si>
  <si>
    <t>Losses Used</t>
  </si>
  <si>
    <t>Losses Carried Forrward</t>
  </si>
  <si>
    <t>Furnishing</t>
  </si>
  <si>
    <t>Solicitor</t>
  </si>
  <si>
    <t>Conveyancing</t>
  </si>
  <si>
    <t>Not registered</t>
  </si>
  <si>
    <t>ADS – Scotland</t>
  </si>
  <si>
    <t>Finance Marketing</t>
  </si>
  <si>
    <t>Fundraising Fees</t>
  </si>
  <si>
    <t>Mortgage Loan Ratio</t>
  </si>
  <si>
    <t>Rent Received</t>
  </si>
  <si>
    <t>Bank Interests</t>
  </si>
  <si>
    <t>Cost of Sale Ratio</t>
  </si>
  <si>
    <t>Property Mgmt Costs</t>
  </si>
  <si>
    <t>City</t>
  </si>
  <si>
    <t>There is an additional 5% surcharge on all bands for corporate bodies buying residential property</t>
  </si>
  <si>
    <t>SDLT Surcharge – England / NI</t>
  </si>
  <si>
    <t>There is an additional 8% ADS charge on all bands for corporate bodies buying residential property</t>
  </si>
  <si>
    <t>Micro Equity</t>
  </si>
  <si>
    <t>Investment Shares</t>
  </si>
  <si>
    <t>Universal Credit</t>
  </si>
  <si>
    <t>Property value</t>
  </si>
  <si>
    <t>Change numbers in yellow cells</t>
  </si>
  <si>
    <t>Share capital</t>
  </si>
  <si>
    <t>Lower limit</t>
  </si>
  <si>
    <t>rate</t>
  </si>
  <si>
    <t>Due</t>
  </si>
  <si>
    <t xml:space="preserve">Fundraiser </t>
  </si>
  <si>
    <t>Threshold</t>
  </si>
  <si>
    <t>Taxable</t>
  </si>
  <si>
    <t>LBTT ADS, Conveyancing</t>
  </si>
  <si>
    <t>to test model</t>
  </si>
  <si>
    <t>Annual return</t>
  </si>
  <si>
    <t>Deduction per month</t>
  </si>
  <si>
    <t>Project Manager</t>
  </si>
  <si>
    <t>For each</t>
  </si>
  <si>
    <t>Project Director</t>
  </si>
  <si>
    <t>Purchase cost</t>
  </si>
  <si>
    <t>Property Appreciation</t>
  </si>
  <si>
    <t>Upper Limit</t>
  </si>
  <si>
    <t>Affiliation Fees</t>
  </si>
  <si>
    <t>Bedrooms</t>
  </si>
  <si>
    <t>Corporation Tax</t>
  </si>
  <si>
    <t>Bank Saving Interest</t>
  </si>
  <si>
    <t>Card Fees</t>
  </si>
  <si>
    <t>Fund to raise</t>
  </si>
  <si>
    <t>Bank Loan Interest</t>
  </si>
  <si>
    <t>Rent receipt Fees</t>
  </si>
  <si>
    <t>Remainder</t>
  </si>
  <si>
    <t>Housing Benefit Rent</t>
  </si>
  <si>
    <t>of rent paid</t>
  </si>
  <si>
    <t>Local Housing Allowance Rates</t>
  </si>
  <si>
    <t>ADS Due</t>
  </si>
  <si>
    <t>Maintenance fund</t>
  </si>
  <si>
    <t>of rent</t>
  </si>
  <si>
    <t>(Housing Benefits)</t>
  </si>
  <si>
    <t>https://lha-direct.voa.gov.uk/</t>
  </si>
  <si>
    <t>Rent per week</t>
  </si>
  <si>
    <t xml:space="preserve"> </t>
  </si>
  <si>
    <t>Property mgmt + Proj Fees</t>
  </si>
  <si>
    <t>of prop. value</t>
  </si>
  <si>
    <t>Property maint.</t>
  </si>
  <si>
    <t>Property insurance</t>
  </si>
  <si>
    <t>Major Repairs</t>
  </si>
  <si>
    <t>https://www.stampdutycalculator.org.uk/stamp-duty-scotland.htm</t>
  </si>
  <si>
    <t>Maint. work done by tenant</t>
  </si>
  <si>
    <t>of property value per year retained in Maintenance Fund</t>
  </si>
  <si>
    <t>https://www.elpamsolicitors.co.uk/fees/property-estate-agency-conveyancing/buying-a-property-fees-calculator/</t>
  </si>
  <si>
    <t>Major Repair done by tenant</t>
  </si>
  <si>
    <t>Financial Model</t>
  </si>
  <si>
    <t>Anticipated income</t>
  </si>
  <si>
    <t>Income Actual received</t>
  </si>
  <si>
    <t>Maintenance Fund</t>
  </si>
  <si>
    <t>Major Repairs Fund</t>
  </si>
  <si>
    <t>Actual Paid from Current Account</t>
  </si>
  <si>
    <t>Annual Profit</t>
  </si>
  <si>
    <t>Tenant Shares Projection</t>
  </si>
  <si>
    <t>Property
Market
Value</t>
  </si>
  <si>
    <t>Rent
(Housing Benefit)
 per year</t>
  </si>
  <si>
    <t>Rent reduction</t>
  </si>
  <si>
    <t>Rent received</t>
  </si>
  <si>
    <t>Bank Interest</t>
  </si>
  <si>
    <t>Interest paid into Maint. Fund</t>
  </si>
  <si>
    <t>Budgeted Property
Maint.</t>
  </si>
  <si>
    <t>Maint. work to pay from maint. fund</t>
  </si>
  <si>
    <t>Maint. Work paid from current account</t>
  </si>
  <si>
    <t>Accum. Maint. Fund</t>
  </si>
  <si>
    <t>Trans. Fr. C.A. into Maint.Fund</t>
  </si>
  <si>
    <t>Budgeted Major Repairs</t>
  </si>
  <si>
    <t>Major Repairs done by tenant</t>
  </si>
  <si>
    <t>Repairs to pay from Maint. Fund</t>
  </si>
  <si>
    <t>Repairs paid from current account</t>
  </si>
  <si>
    <t>Property
Insurance</t>
  </si>
  <si>
    <t>Property
Mgmt</t>
  </si>
  <si>
    <t>Investors Share
return</t>
  </si>
  <si>
    <t>Corp.
Tax</t>
  </si>
  <si>
    <t>Nett Profit after tax</t>
  </si>
  <si>
    <t>Accum. Current Account</t>
  </si>
  <si>
    <t>Hone Share purchase
by tenant</t>
  </si>
  <si>
    <t>Home Share
Apprec.
per year</t>
  </si>
  <si>
    <t>Accum. Home Shares</t>
  </si>
  <si>
    <t>Original investor share holding</t>
  </si>
  <si>
    <t>Projected Tenant Shares</t>
  </si>
  <si>
    <t>Projected Tenant
share of property</t>
  </si>
  <si>
    <t>Projected investor share holding</t>
  </si>
  <si>
    <t>Universal Credit Deduction</t>
  </si>
  <si>
    <t>Conveyancing Calculator - Scotland</t>
  </si>
  <si>
    <t>Conveyancing Calculator - England/NI</t>
  </si>
  <si>
    <t>Conveyancing Calculator - Wales</t>
  </si>
  <si>
    <t>LTT Surcharge – Wales</t>
  </si>
  <si>
    <t>Launch</t>
  </si>
  <si>
    <t>Share offer costs</t>
  </si>
  <si>
    <t>Profit to be taxed @</t>
  </si>
  <si>
    <t>Corporation Tax Rate</t>
  </si>
  <si>
    <t xml:space="preserve"> Budgeted Major Repairs</t>
  </si>
  <si>
    <t>Fundraising Fees &amp; Costs</t>
  </si>
  <si>
    <t>Letting Agent</t>
  </si>
  <si>
    <t>Fixed Assets - Beginning of Year</t>
  </si>
  <si>
    <t>L&amp;B Depreciation</t>
  </si>
  <si>
    <t>L&amp;B at Year End</t>
  </si>
  <si>
    <t>F&amp;F Depreciation</t>
  </si>
  <si>
    <t>F&amp;F at Year End</t>
  </si>
  <si>
    <t>Total Appreciation</t>
  </si>
  <si>
    <t>Total Fixed Assets - year End</t>
  </si>
  <si>
    <t>Asset Appreciation</t>
  </si>
  <si>
    <t>Start up
costs</t>
  </si>
  <si>
    <t>Total income</t>
  </si>
  <si>
    <t>Total Income</t>
  </si>
  <si>
    <t>Gift points from friends</t>
  </si>
  <si>
    <t>Home Share Purchase</t>
  </si>
  <si>
    <t>Gift
points from
freinds</t>
  </si>
  <si>
    <t>Gift Points 
Apprec.
per year</t>
  </si>
  <si>
    <t xml:space="preserve">Accum. Gift Points </t>
  </si>
  <si>
    <t>Totla Expense</t>
  </si>
  <si>
    <t>Total Asset Depreciation</t>
  </si>
  <si>
    <t>Gift Points purchase by friends</t>
  </si>
  <si>
    <t>Current Account</t>
  </si>
  <si>
    <t>Paid Out Current Account</t>
  </si>
  <si>
    <t>Home Share purchase by tenant</t>
  </si>
  <si>
    <t>Transfer to Current Account</t>
  </si>
  <si>
    <t>Allocate into Maint. Fund</t>
  </si>
  <si>
    <t>Home Shares Acquired</t>
  </si>
  <si>
    <t>Gift Points Acquired</t>
  </si>
  <si>
    <t>Prop. Purch. fundraising &amp; launch fees</t>
  </si>
  <si>
    <t>Home Shares Sold in Year</t>
  </si>
  <si>
    <t>Invest. Shares Withdrawn in Year</t>
  </si>
  <si>
    <t>Investment Share Balance</t>
  </si>
  <si>
    <t>Home Shares Balance</t>
  </si>
  <si>
    <t>Home Shares Sold</t>
  </si>
  <si>
    <t>Gift Points Sold</t>
  </si>
  <si>
    <t>Share Offer Costs</t>
  </si>
  <si>
    <t>Fundrasing Fees</t>
  </si>
  <si>
    <t>Accum. Major Repair Fund</t>
  </si>
  <si>
    <t>Accum. Maint. + Major Rep Fund (after each 10 yr)</t>
  </si>
  <si>
    <t>Purchase Costs</t>
  </si>
  <si>
    <t>Amount</t>
  </si>
  <si>
    <t>Property Price</t>
  </si>
  <si>
    <t>Purchase Cost</t>
  </si>
  <si>
    <t>Fund to Raise</t>
  </si>
  <si>
    <t>Income:</t>
  </si>
  <si>
    <t xml:space="preserve">     Annual Rent</t>
  </si>
  <si>
    <t xml:space="preserve">     Bank Interests</t>
  </si>
  <si>
    <t>Expenses:</t>
  </si>
  <si>
    <t xml:space="preserve">     Property Maintenance </t>
  </si>
  <si>
    <t xml:space="preserve">     Property Insurance</t>
  </si>
  <si>
    <t xml:space="preserve">     Property Management</t>
  </si>
  <si>
    <t xml:space="preserve">     Investor Share Return</t>
  </si>
  <si>
    <t xml:space="preserve">     Fees &amp; Launch Costs</t>
  </si>
  <si>
    <t xml:space="preserve">     Corp. Tax</t>
  </si>
  <si>
    <t>Profit After Tax</t>
  </si>
  <si>
    <t>Gift Points Purchase</t>
  </si>
  <si>
    <t>5 Years</t>
  </si>
  <si>
    <t>10 Years</t>
  </si>
  <si>
    <t>20 Years</t>
  </si>
  <si>
    <t>Tenant Ownership after:</t>
  </si>
  <si>
    <t>30 Years</t>
  </si>
  <si>
    <t>40 Years</t>
  </si>
  <si>
    <t>Other costs</t>
  </si>
  <si>
    <t>Country:</t>
  </si>
  <si>
    <t>London</t>
  </si>
  <si>
    <t>England or Northern Ireland</t>
  </si>
</sst>
</file>

<file path=xl/styles.xml><?xml version="1.0" encoding="utf-8"?>
<styleSheet xmlns="http://schemas.openxmlformats.org/spreadsheetml/2006/main">
  <numFmts count="17">
    <numFmt numFmtId="6" formatCode="&quot;£&quot;#,##0;[Red]\-&quot;£&quot;#,##0"/>
    <numFmt numFmtId="44" formatCode="_-&quot;£&quot;* #,##0.00_-;\-&quot;£&quot;* #,##0.00_-;_-&quot;£&quot;* &quot;-&quot;??_-;_-@_-"/>
    <numFmt numFmtId="164" formatCode="#,##0_);\(#,##0\);\-"/>
    <numFmt numFmtId="165" formatCode="[$£-809]#,##0;\-[$£-809]#,##0"/>
    <numFmt numFmtId="166" formatCode="[$£-809]#,##0.00"/>
    <numFmt numFmtId="167" formatCode="[$£]#,##0.00"/>
    <numFmt numFmtId="168" formatCode="[$£-809]#,##0.00;[Red]\-[$£-809]#,##0.00"/>
    <numFmt numFmtId="169" formatCode="[$£-809]#,##0;[Red]\-[$£-809]#,##0"/>
    <numFmt numFmtId="170" formatCode="0.0%"/>
    <numFmt numFmtId="171" formatCode="#,##0\ ;\(#,##0\);\-"/>
    <numFmt numFmtId="172" formatCode="#,##0\ ;\(#,##0\)"/>
    <numFmt numFmtId="173" formatCode="&quot;£&quot;#,##0"/>
    <numFmt numFmtId="174" formatCode="&quot;£&quot;#,##0.00"/>
    <numFmt numFmtId="175" formatCode="#,##0_ ;[Red]\-#,##0\ "/>
    <numFmt numFmtId="176" formatCode="_-&quot;£&quot;* #,##0_-;\-&quot;£&quot;* #,##0_-;_-&quot;£&quot;* &quot;-&quot;??_-;_-@_-"/>
    <numFmt numFmtId="177" formatCode="#,##0.0"/>
    <numFmt numFmtId="178" formatCode="&quot;£&quot;#,##0.0"/>
  </numFmts>
  <fonts count="41">
    <font>
      <sz val="10"/>
      <color rgb="FF000000"/>
      <name val="Arial"/>
      <scheme val="minor"/>
    </font>
    <font>
      <b/>
      <sz val="18"/>
      <color theme="1"/>
      <name val="&quot;Liberation Sans&quot;"/>
    </font>
    <font>
      <sz val="8"/>
      <color theme="1"/>
      <name val="&quot;Liberation Sans&quot;"/>
    </font>
    <font>
      <b/>
      <sz val="8"/>
      <color theme="1"/>
      <name val="&quot;Liberation Sans&quot;"/>
    </font>
    <font>
      <sz val="8"/>
      <color theme="1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8"/>
      <color theme="1"/>
      <name val="&quot;Arial&quot;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sz val="10"/>
      <color theme="1"/>
      <name val="Arial"/>
      <family val="2"/>
    </font>
    <font>
      <b/>
      <sz val="18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</font>
    <font>
      <b/>
      <sz val="11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rgb="FF0070C0"/>
      <name val="Arial"/>
      <family val="2"/>
      <scheme val="minor"/>
    </font>
    <font>
      <b/>
      <sz val="10"/>
      <color rgb="FF262626"/>
      <name val="Arial"/>
      <family val="2"/>
      <scheme val="minor"/>
    </font>
    <font>
      <sz val="10"/>
      <color rgb="FF262626"/>
      <name val="Arial"/>
      <family val="2"/>
      <scheme val="minor"/>
    </font>
    <font>
      <sz val="10"/>
      <color rgb="FFFF0000"/>
      <name val="Arial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Arial"/>
      <family val="2"/>
      <scheme val="minor"/>
    </font>
    <font>
      <sz val="11"/>
      <name val="Arial"/>
      <family val="2"/>
      <scheme val="minor"/>
    </font>
    <font>
      <sz val="10"/>
      <color rgb="FF0070C0"/>
      <name val="Arial"/>
      <family val="2"/>
      <scheme val="minor"/>
    </font>
    <font>
      <b/>
      <sz val="9"/>
      <color rgb="FFFFFF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8"/>
      <color theme="1"/>
      <name val="Arial"/>
      <family val="2"/>
      <scheme val="minor"/>
    </font>
    <font>
      <sz val="8"/>
      <color rgb="FF000000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Calibri"/>
      <family val="2"/>
    </font>
    <font>
      <sz val="8"/>
      <color rgb="FF000000"/>
      <name val="Calibri"/>
      <family val="2"/>
    </font>
    <font>
      <b/>
      <sz val="8"/>
      <color theme="1"/>
      <name val="Calibri"/>
      <family val="2"/>
    </font>
    <font>
      <sz val="8"/>
      <color rgb="FF0070C0"/>
      <name val="Calibri"/>
      <family val="2"/>
    </font>
    <font>
      <b/>
      <sz val="8"/>
      <color rgb="FF0070C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972F"/>
        <bgColor rgb="FFFF972F"/>
      </patternFill>
    </fill>
    <fill>
      <patternFill patternType="solid">
        <fgColor rgb="FFFFE994"/>
        <bgColor rgb="FFFFE994"/>
      </patternFill>
    </fill>
    <fill>
      <patternFill patternType="solid">
        <fgColor rgb="FFAECF00"/>
        <bgColor rgb="FFAECF00"/>
      </patternFill>
    </fill>
    <fill>
      <patternFill patternType="solid">
        <fgColor rgb="FFFF9900"/>
        <bgColor rgb="FFFF9900"/>
      </patternFill>
    </fill>
    <fill>
      <patternFill patternType="solid">
        <fgColor rgb="FFFFCC99"/>
        <bgColor rgb="FFFFCC99"/>
      </patternFill>
    </fill>
    <fill>
      <patternFill patternType="solid">
        <fgColor rgb="FF729FCF"/>
        <bgColor rgb="FF729FC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29FCF"/>
        <bgColor indexed="64"/>
      </patternFill>
    </fill>
    <fill>
      <patternFill patternType="solid">
        <fgColor rgb="FFFFCC99"/>
        <bgColor rgb="FFAEC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0"/>
        <bgColor rgb="FFFF972F"/>
      </patternFill>
    </fill>
    <fill>
      <patternFill patternType="solid">
        <fgColor rgb="FFFFFF00"/>
        <bgColor rgb="FFAECF00"/>
      </patternFill>
    </fill>
  </fills>
  <borders count="1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rgb="FF4472C4"/>
      </left>
      <right/>
      <top style="medium">
        <color rgb="FF4472C4"/>
      </top>
      <bottom/>
      <diagonal/>
    </border>
    <border>
      <left/>
      <right style="medium">
        <color rgb="FF4472C4"/>
      </right>
      <top style="medium">
        <color rgb="FF4472C4"/>
      </top>
      <bottom/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/>
      <top/>
      <bottom style="medium">
        <color rgb="FF4472C4"/>
      </bottom>
      <diagonal/>
    </border>
    <border>
      <left/>
      <right style="medium">
        <color rgb="FF4472C4"/>
      </right>
      <top/>
      <bottom style="medium">
        <color rgb="FF4472C4"/>
      </bottom>
      <diagonal/>
    </border>
    <border>
      <left style="medium">
        <color rgb="FF4472C4"/>
      </left>
      <right/>
      <top/>
      <bottom style="thick">
        <color rgb="FF4472C4"/>
      </bottom>
      <diagonal/>
    </border>
    <border>
      <left/>
      <right style="medium">
        <color rgb="FF4472C4"/>
      </right>
      <top/>
      <bottom style="thick">
        <color rgb="FF4472C4"/>
      </bottom>
      <diagonal/>
    </border>
    <border>
      <left/>
      <right/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 style="medium">
        <color rgb="FF4472C4"/>
      </right>
      <top/>
      <bottom style="medium">
        <color rgb="FF4472C4"/>
      </bottom>
      <diagonal/>
    </border>
    <border>
      <left/>
      <right/>
      <top/>
      <bottom style="medium">
        <color rgb="FF4472C4"/>
      </bottom>
      <diagonal/>
    </border>
    <border>
      <left style="medium">
        <color rgb="FF4472C4"/>
      </left>
      <right style="medium">
        <color rgb="FF4472C4"/>
      </right>
      <top/>
      <bottom/>
      <diagonal/>
    </border>
    <border>
      <left/>
      <right style="medium">
        <color rgb="FF4472C4"/>
      </right>
      <top/>
      <bottom/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thick">
        <color rgb="FF4472C4"/>
      </bottom>
      <diagonal/>
    </border>
    <border>
      <left/>
      <right/>
      <top style="medium">
        <color rgb="FF4472C4"/>
      </top>
      <bottom style="thick">
        <color rgb="FF4472C4"/>
      </bottom>
      <diagonal/>
    </border>
    <border>
      <left/>
      <right style="medium">
        <color rgb="FF4472C4"/>
      </right>
      <top style="medium">
        <color rgb="FF4472C4"/>
      </top>
      <bottom style="thick">
        <color rgb="FF4472C4"/>
      </bottom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4472C4"/>
      </left>
      <right style="medium">
        <color rgb="FF4472C4"/>
      </right>
      <top/>
      <bottom style="thick">
        <color rgb="FF4472C4"/>
      </bottom>
      <diagonal/>
    </border>
    <border>
      <left/>
      <right/>
      <top/>
      <bottom style="thick">
        <color rgb="FF4472C4"/>
      </bottom>
      <diagonal/>
    </border>
    <border>
      <left/>
      <right/>
      <top style="thick">
        <color rgb="FF4472C4"/>
      </top>
      <bottom style="medium">
        <color rgb="FF4472C4"/>
      </bottom>
      <diagonal/>
    </border>
    <border>
      <left/>
      <right/>
      <top style="thick">
        <color rgb="FF4472C4"/>
      </top>
      <bottom style="thick">
        <color rgb="FF4472C4"/>
      </bottom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44" fontId="15" fillId="0" borderId="0" applyFont="0" applyFill="0" applyBorder="0" applyAlignment="0" applyProtection="0"/>
  </cellStyleXfs>
  <cellXfs count="757">
    <xf numFmtId="0" fontId="0" fillId="0" borderId="0" xfId="0"/>
    <xf numFmtId="0" fontId="2" fillId="0" borderId="0" xfId="0" applyFont="1" applyAlignment="1">
      <alignment horizontal="left"/>
    </xf>
    <xf numFmtId="0" fontId="2" fillId="4" borderId="0" xfId="0" applyFont="1" applyFill="1" applyAlignment="1">
      <alignment horizontal="center"/>
    </xf>
    <xf numFmtId="10" fontId="2" fillId="4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right"/>
    </xf>
    <xf numFmtId="0" fontId="5" fillId="2" borderId="0" xfId="0" applyFont="1" applyFill="1"/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right"/>
    </xf>
    <xf numFmtId="164" fontId="5" fillId="0" borderId="0" xfId="0" applyNumberFormat="1" applyFont="1"/>
    <xf numFmtId="164" fontId="5" fillId="2" borderId="0" xfId="0" applyNumberFormat="1" applyFont="1" applyFill="1"/>
    <xf numFmtId="164" fontId="6" fillId="0" borderId="1" xfId="0" applyNumberFormat="1" applyFont="1" applyBorder="1"/>
    <xf numFmtId="164" fontId="6" fillId="2" borderId="0" xfId="0" applyNumberFormat="1" applyFont="1" applyFill="1"/>
    <xf numFmtId="0" fontId="5" fillId="0" borderId="0" xfId="0" applyFont="1"/>
    <xf numFmtId="164" fontId="5" fillId="2" borderId="2" xfId="0" applyNumberFormat="1" applyFont="1" applyFill="1" applyBorder="1"/>
    <xf numFmtId="164" fontId="5" fillId="0" borderId="1" xfId="0" applyNumberFormat="1" applyFont="1" applyBorder="1"/>
    <xf numFmtId="164" fontId="5" fillId="0" borderId="2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165" fontId="8" fillId="0" borderId="0" xfId="0" applyNumberFormat="1" applyFont="1"/>
    <xf numFmtId="0" fontId="8" fillId="6" borderId="6" xfId="0" applyFont="1" applyFill="1" applyBorder="1"/>
    <xf numFmtId="0" fontId="8" fillId="6" borderId="7" xfId="0" applyFont="1" applyFill="1" applyBorder="1"/>
    <xf numFmtId="165" fontId="11" fillId="6" borderId="7" xfId="0" applyNumberFormat="1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1" fillId="6" borderId="7" xfId="0" applyFont="1" applyFill="1" applyBorder="1"/>
    <xf numFmtId="0" fontId="8" fillId="6" borderId="8" xfId="0" applyFont="1" applyFill="1" applyBorder="1"/>
    <xf numFmtId="0" fontId="8" fillId="4" borderId="7" xfId="0" applyFont="1" applyFill="1" applyBorder="1"/>
    <xf numFmtId="165" fontId="8" fillId="6" borderId="7" xfId="0" applyNumberFormat="1" applyFont="1" applyFill="1" applyBorder="1" applyAlignment="1">
      <alignment horizontal="center"/>
    </xf>
    <xf numFmtId="166" fontId="8" fillId="6" borderId="7" xfId="0" applyNumberFormat="1" applyFont="1" applyFill="1" applyBorder="1"/>
    <xf numFmtId="167" fontId="8" fillId="6" borderId="0" xfId="0" applyNumberFormat="1" applyFont="1" applyFill="1"/>
    <xf numFmtId="168" fontId="8" fillId="6" borderId="8" xfId="0" applyNumberFormat="1" applyFont="1" applyFill="1" applyBorder="1"/>
    <xf numFmtId="168" fontId="8" fillId="6" borderId="7" xfId="0" applyNumberFormat="1" applyFont="1" applyFill="1" applyBorder="1"/>
    <xf numFmtId="166" fontId="8" fillId="6" borderId="8" xfId="0" applyNumberFormat="1" applyFont="1" applyFill="1" applyBorder="1"/>
    <xf numFmtId="165" fontId="8" fillId="6" borderId="8" xfId="0" applyNumberFormat="1" applyFont="1" applyFill="1" applyBorder="1"/>
    <xf numFmtId="0" fontId="8" fillId="6" borderId="9" xfId="0" applyFont="1" applyFill="1" applyBorder="1"/>
    <xf numFmtId="168" fontId="11" fillId="6" borderId="10" xfId="0" applyNumberFormat="1" applyFont="1" applyFill="1" applyBorder="1"/>
    <xf numFmtId="0" fontId="8" fillId="6" borderId="11" xfId="0" applyFont="1" applyFill="1" applyBorder="1"/>
    <xf numFmtId="165" fontId="8" fillId="6" borderId="13" xfId="0" applyNumberFormat="1" applyFont="1" applyFill="1" applyBorder="1"/>
    <xf numFmtId="0" fontId="11" fillId="6" borderId="6" xfId="0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165" fontId="11" fillId="6" borderId="7" xfId="0" applyNumberFormat="1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/>
    </xf>
    <xf numFmtId="0" fontId="8" fillId="0" borderId="14" xfId="0" applyFont="1" applyBorder="1"/>
    <xf numFmtId="169" fontId="8" fillId="0" borderId="15" xfId="0" applyNumberFormat="1" applyFont="1" applyBorder="1"/>
    <xf numFmtId="165" fontId="8" fillId="4" borderId="7" xfId="0" applyNumberFormat="1" applyFont="1" applyFill="1" applyBorder="1"/>
    <xf numFmtId="168" fontId="8" fillId="0" borderId="15" xfId="0" applyNumberFormat="1" applyFont="1" applyBorder="1"/>
    <xf numFmtId="0" fontId="11" fillId="0" borderId="1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5" xfId="0" applyFont="1" applyBorder="1" applyAlignment="1">
      <alignment horizontal="center"/>
    </xf>
    <xf numFmtId="0" fontId="8" fillId="4" borderId="7" xfId="0" applyFont="1" applyFill="1" applyBorder="1" applyAlignment="1">
      <alignment wrapText="1"/>
    </xf>
    <xf numFmtId="0" fontId="8" fillId="4" borderId="6" xfId="0" applyFont="1" applyFill="1" applyBorder="1"/>
    <xf numFmtId="166" fontId="8" fillId="4" borderId="8" xfId="0" applyNumberFormat="1" applyFont="1" applyFill="1" applyBorder="1"/>
    <xf numFmtId="0" fontId="8" fillId="4" borderId="11" xfId="0" applyFont="1" applyFill="1" applyBorder="1" applyAlignment="1">
      <alignment wrapText="1"/>
    </xf>
    <xf numFmtId="165" fontId="8" fillId="4" borderId="11" xfId="0" applyNumberFormat="1" applyFont="1" applyFill="1" applyBorder="1"/>
    <xf numFmtId="0" fontId="8" fillId="4" borderId="11" xfId="0" applyFont="1" applyFill="1" applyBorder="1"/>
    <xf numFmtId="0" fontId="8" fillId="4" borderId="9" xfId="0" applyFont="1" applyFill="1" applyBorder="1"/>
    <xf numFmtId="166" fontId="8" fillId="4" borderId="13" xfId="0" applyNumberFormat="1" applyFont="1" applyFill="1" applyBorder="1"/>
    <xf numFmtId="165" fontId="8" fillId="6" borderId="7" xfId="0" applyNumberFormat="1" applyFont="1" applyFill="1" applyBorder="1"/>
    <xf numFmtId="0" fontId="8" fillId="6" borderId="7" xfId="0" applyFont="1" applyFill="1" applyBorder="1" applyAlignment="1">
      <alignment horizontal="center"/>
    </xf>
    <xf numFmtId="166" fontId="8" fillId="4" borderId="7" xfId="0" applyNumberFormat="1" applyFont="1" applyFill="1" applyBorder="1"/>
    <xf numFmtId="0" fontId="8" fillId="6" borderId="7" xfId="0" applyFont="1" applyFill="1" applyBorder="1" applyAlignment="1">
      <alignment horizontal="center" wrapText="1"/>
    </xf>
    <xf numFmtId="165" fontId="11" fillId="6" borderId="10" xfId="0" applyNumberFormat="1" applyFont="1" applyFill="1" applyBorder="1"/>
    <xf numFmtId="165" fontId="8" fillId="4" borderId="8" xfId="0" applyNumberFormat="1" applyFont="1" applyFill="1" applyBorder="1"/>
    <xf numFmtId="0" fontId="8" fillId="6" borderId="13" xfId="0" applyFont="1" applyFill="1" applyBorder="1"/>
    <xf numFmtId="166" fontId="8" fillId="4" borderId="11" xfId="0" applyNumberFormat="1" applyFont="1" applyFill="1" applyBorder="1"/>
    <xf numFmtId="166" fontId="8" fillId="6" borderId="13" xfId="0" applyNumberFormat="1" applyFont="1" applyFill="1" applyBorder="1"/>
    <xf numFmtId="0" fontId="8" fillId="0" borderId="15" xfId="0" applyFont="1" applyBorder="1"/>
    <xf numFmtId="0" fontId="11" fillId="0" borderId="15" xfId="0" applyFont="1" applyBorder="1" applyAlignment="1">
      <alignment horizontal="center" wrapText="1"/>
    </xf>
    <xf numFmtId="165" fontId="8" fillId="0" borderId="14" xfId="0" applyNumberFormat="1" applyFont="1" applyBorder="1"/>
    <xf numFmtId="166" fontId="8" fillId="0" borderId="0" xfId="0" applyNumberFormat="1" applyFont="1"/>
    <xf numFmtId="10" fontId="8" fillId="7" borderId="7" xfId="0" applyNumberFormat="1" applyFont="1" applyFill="1" applyBorder="1"/>
    <xf numFmtId="166" fontId="8" fillId="0" borderId="15" xfId="0" applyNumberFormat="1" applyFont="1" applyBorder="1"/>
    <xf numFmtId="166" fontId="5" fillId="0" borderId="0" xfId="0" applyNumberFormat="1" applyFont="1"/>
    <xf numFmtId="0" fontId="8" fillId="0" borderId="14" xfId="0" applyFont="1" applyBorder="1" applyAlignment="1">
      <alignment horizontal="center"/>
    </xf>
    <xf numFmtId="0" fontId="11" fillId="0" borderId="0" xfId="0" applyFont="1"/>
    <xf numFmtId="165" fontId="8" fillId="0" borderId="10" xfId="0" applyNumberFormat="1" applyFont="1" applyBorder="1"/>
    <xf numFmtId="165" fontId="8" fillId="0" borderId="15" xfId="0" applyNumberFormat="1" applyFont="1" applyBorder="1"/>
    <xf numFmtId="168" fontId="8" fillId="0" borderId="10" xfId="0" applyNumberFormat="1" applyFont="1" applyBorder="1"/>
    <xf numFmtId="0" fontId="8" fillId="7" borderId="7" xfId="0" applyFont="1" applyFill="1" applyBorder="1"/>
    <xf numFmtId="0" fontId="11" fillId="0" borderId="15" xfId="0" applyFont="1" applyBorder="1" applyAlignment="1">
      <alignment horizontal="center" vertical="center" wrapText="1"/>
    </xf>
    <xf numFmtId="169" fontId="8" fillId="0" borderId="14" xfId="0" applyNumberFormat="1" applyFont="1" applyBorder="1"/>
    <xf numFmtId="166" fontId="8" fillId="0" borderId="14" xfId="0" applyNumberFormat="1" applyFont="1" applyBorder="1"/>
    <xf numFmtId="0" fontId="8" fillId="0" borderId="14" xfId="0" applyFont="1" applyBorder="1" applyAlignment="1">
      <alignment horizontal="right" vertical="center"/>
    </xf>
    <xf numFmtId="166" fontId="8" fillId="0" borderId="10" xfId="0" applyNumberFormat="1" applyFont="1" applyBorder="1"/>
    <xf numFmtId="10" fontId="8" fillId="4" borderId="8" xfId="0" applyNumberFormat="1" applyFont="1" applyFill="1" applyBorder="1"/>
    <xf numFmtId="0" fontId="8" fillId="4" borderId="8" xfId="0" applyFont="1" applyFill="1" applyBorder="1"/>
    <xf numFmtId="0" fontId="8" fillId="4" borderId="13" xfId="0" applyFont="1" applyFill="1" applyBorder="1"/>
    <xf numFmtId="0" fontId="8" fillId="6" borderId="26" xfId="0" applyFont="1" applyFill="1" applyBorder="1"/>
    <xf numFmtId="0" fontId="11" fillId="6" borderId="27" xfId="0" applyFont="1" applyFill="1" applyBorder="1" applyAlignment="1">
      <alignment horizontal="center"/>
    </xf>
    <xf numFmtId="0" fontId="11" fillId="6" borderId="28" xfId="0" applyFont="1" applyFill="1" applyBorder="1" applyAlignment="1">
      <alignment horizontal="center"/>
    </xf>
    <xf numFmtId="171" fontId="8" fillId="6" borderId="7" xfId="0" applyNumberFormat="1" applyFont="1" applyFill="1" applyBorder="1"/>
    <xf numFmtId="171" fontId="8" fillId="6" borderId="8" xfId="0" applyNumberFormat="1" applyFont="1" applyFill="1" applyBorder="1"/>
    <xf numFmtId="0" fontId="8" fillId="6" borderId="6" xfId="0" applyFont="1" applyFill="1" applyBorder="1" applyAlignment="1">
      <alignment vertical="center" wrapText="1"/>
    </xf>
    <xf numFmtId="165" fontId="8" fillId="4" borderId="7" xfId="0" applyNumberFormat="1" applyFont="1" applyFill="1" applyBorder="1" applyAlignment="1">
      <alignment vertical="center" wrapText="1"/>
    </xf>
    <xf numFmtId="0" fontId="8" fillId="6" borderId="7" xfId="0" applyFont="1" applyFill="1" applyBorder="1" applyAlignment="1">
      <alignment vertical="center" wrapText="1"/>
    </xf>
    <xf numFmtId="10" fontId="8" fillId="4" borderId="7" xfId="0" applyNumberFormat="1" applyFont="1" applyFill="1" applyBorder="1" applyAlignment="1">
      <alignment vertical="center" wrapText="1"/>
    </xf>
    <xf numFmtId="165" fontId="8" fillId="6" borderId="8" xfId="0" applyNumberFormat="1" applyFont="1" applyFill="1" applyBorder="1" applyAlignment="1">
      <alignment vertical="center" wrapText="1"/>
    </xf>
    <xf numFmtId="165" fontId="11" fillId="6" borderId="8" xfId="0" applyNumberFormat="1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8" fillId="6" borderId="8" xfId="0" applyFont="1" applyFill="1" applyBorder="1" applyAlignment="1">
      <alignment vertical="center" wrapText="1"/>
    </xf>
    <xf numFmtId="0" fontId="8" fillId="6" borderId="9" xfId="0" applyFont="1" applyFill="1" applyBorder="1" applyAlignment="1">
      <alignment vertical="center" wrapText="1"/>
    </xf>
    <xf numFmtId="10" fontId="8" fillId="7" borderId="11" xfId="0" applyNumberFormat="1" applyFont="1" applyFill="1" applyBorder="1" applyAlignment="1">
      <alignment vertical="center" wrapText="1"/>
    </xf>
    <xf numFmtId="0" fontId="8" fillId="6" borderId="11" xfId="0" applyFont="1" applyFill="1" applyBorder="1" applyAlignment="1">
      <alignment vertical="center" wrapText="1"/>
    </xf>
    <xf numFmtId="0" fontId="8" fillId="7" borderId="11" xfId="0" applyFont="1" applyFill="1" applyBorder="1" applyAlignment="1">
      <alignment vertical="center" wrapText="1"/>
    </xf>
    <xf numFmtId="0" fontId="8" fillId="6" borderId="13" xfId="0" applyFont="1" applyFill="1" applyBorder="1" applyAlignment="1">
      <alignment vertical="center" wrapText="1"/>
    </xf>
    <xf numFmtId="0" fontId="8" fillId="6" borderId="27" xfId="0" applyFont="1" applyFill="1" applyBorder="1"/>
    <xf numFmtId="0" fontId="8" fillId="6" borderId="28" xfId="0" applyFont="1" applyFill="1" applyBorder="1"/>
    <xf numFmtId="10" fontId="8" fillId="6" borderId="7" xfId="0" applyNumberFormat="1" applyFont="1" applyFill="1" applyBorder="1"/>
    <xf numFmtId="10" fontId="8" fillId="6" borderId="8" xfId="0" applyNumberFormat="1" applyFont="1" applyFill="1" applyBorder="1"/>
    <xf numFmtId="172" fontId="8" fillId="6" borderId="7" xfId="0" applyNumberFormat="1" applyFont="1" applyFill="1" applyBorder="1"/>
    <xf numFmtId="172" fontId="8" fillId="6" borderId="8" xfId="0" applyNumberFormat="1" applyFont="1" applyFill="1" applyBorder="1"/>
    <xf numFmtId="172" fontId="8" fillId="6" borderId="11" xfId="0" applyNumberFormat="1" applyFont="1" applyFill="1" applyBorder="1"/>
    <xf numFmtId="172" fontId="8" fillId="6" borderId="13" xfId="0" applyNumberFormat="1" applyFont="1" applyFill="1" applyBorder="1"/>
    <xf numFmtId="172" fontId="8" fillId="6" borderId="27" xfId="0" applyNumberFormat="1" applyFont="1" applyFill="1" applyBorder="1"/>
    <xf numFmtId="172" fontId="8" fillId="6" borderId="28" xfId="0" applyNumberFormat="1" applyFont="1" applyFill="1" applyBorder="1"/>
    <xf numFmtId="172" fontId="8" fillId="0" borderId="0" xfId="0" applyNumberFormat="1" applyFont="1"/>
    <xf numFmtId="0" fontId="13" fillId="6" borderId="19" xfId="0" applyFont="1" applyFill="1" applyBorder="1"/>
    <xf numFmtId="0" fontId="13" fillId="6" borderId="1" xfId="0" applyFont="1" applyFill="1" applyBorder="1"/>
    <xf numFmtId="172" fontId="13" fillId="6" borderId="1" xfId="0" applyNumberFormat="1" applyFont="1" applyFill="1" applyBorder="1" applyAlignment="1">
      <alignment horizontal="right"/>
    </xf>
    <xf numFmtId="172" fontId="13" fillId="6" borderId="20" xfId="0" applyNumberFormat="1" applyFont="1" applyFill="1" applyBorder="1" applyAlignment="1">
      <alignment horizontal="right"/>
    </xf>
    <xf numFmtId="0" fontId="13" fillId="6" borderId="14" xfId="0" applyFont="1" applyFill="1" applyBorder="1"/>
    <xf numFmtId="0" fontId="13" fillId="6" borderId="0" xfId="0" applyFont="1" applyFill="1"/>
    <xf numFmtId="172" fontId="13" fillId="6" borderId="0" xfId="0" applyNumberFormat="1" applyFont="1" applyFill="1" applyAlignment="1">
      <alignment horizontal="right"/>
    </xf>
    <xf numFmtId="172" fontId="13" fillId="6" borderId="15" xfId="0" applyNumberFormat="1" applyFont="1" applyFill="1" applyBorder="1" applyAlignment="1">
      <alignment horizontal="right"/>
    </xf>
    <xf numFmtId="0" fontId="13" fillId="6" borderId="15" xfId="0" applyFont="1" applyFill="1" applyBorder="1"/>
    <xf numFmtId="0" fontId="13" fillId="6" borderId="21" xfId="0" applyFont="1" applyFill="1" applyBorder="1"/>
    <xf numFmtId="0" fontId="13" fillId="6" borderId="12" xfId="0" applyFont="1" applyFill="1" applyBorder="1"/>
    <xf numFmtId="172" fontId="13" fillId="6" borderId="12" xfId="0" applyNumberFormat="1" applyFont="1" applyFill="1" applyBorder="1" applyAlignment="1">
      <alignment horizontal="right"/>
    </xf>
    <xf numFmtId="172" fontId="13" fillId="6" borderId="22" xfId="0" applyNumberFormat="1" applyFont="1" applyFill="1" applyBorder="1" applyAlignment="1">
      <alignment horizontal="right"/>
    </xf>
    <xf numFmtId="0" fontId="0" fillId="0" borderId="0" xfId="0"/>
    <xf numFmtId="0" fontId="2" fillId="4" borderId="0" xfId="0" applyFont="1" applyFill="1" applyAlignment="1">
      <alignment horizontal="right"/>
    </xf>
    <xf numFmtId="0" fontId="10" fillId="0" borderId="18" xfId="0" applyFont="1" applyBorder="1"/>
    <xf numFmtId="0" fontId="10" fillId="0" borderId="25" xfId="0" applyFont="1" applyBorder="1"/>
    <xf numFmtId="0" fontId="8" fillId="0" borderId="21" xfId="0" applyFont="1" applyBorder="1" applyAlignment="1">
      <alignment horizontal="center" vertical="center" wrapText="1"/>
    </xf>
    <xf numFmtId="0" fontId="10" fillId="0" borderId="22" xfId="0" applyFont="1" applyBorder="1"/>
    <xf numFmtId="0" fontId="11" fillId="0" borderId="14" xfId="0" applyFont="1" applyBorder="1" applyAlignment="1">
      <alignment horizontal="center" vertical="center"/>
    </xf>
    <xf numFmtId="165" fontId="8" fillId="6" borderId="6" xfId="0" applyNumberFormat="1" applyFont="1" applyFill="1" applyBorder="1"/>
    <xf numFmtId="0" fontId="8" fillId="0" borderId="18" xfId="0" applyFont="1" applyBorder="1"/>
    <xf numFmtId="0" fontId="11" fillId="0" borderId="18" xfId="0" applyFont="1" applyBorder="1" applyAlignment="1">
      <alignment horizontal="center" vertical="center"/>
    </xf>
    <xf numFmtId="169" fontId="8" fillId="0" borderId="18" xfId="0" applyNumberFormat="1" applyFont="1" applyBorder="1"/>
    <xf numFmtId="170" fontId="8" fillId="7" borderId="18" xfId="0" applyNumberFormat="1" applyFont="1" applyFill="1" applyBorder="1" applyAlignment="1">
      <alignment horizontal="center" vertical="center"/>
    </xf>
    <xf numFmtId="170" fontId="8" fillId="0" borderId="18" xfId="0" applyNumberFormat="1" applyFont="1" applyBorder="1" applyAlignment="1">
      <alignment horizontal="center" vertical="center"/>
    </xf>
    <xf numFmtId="0" fontId="5" fillId="0" borderId="18" xfId="0" applyFont="1" applyBorder="1"/>
    <xf numFmtId="0" fontId="0" fillId="0" borderId="18" xfId="0" applyBorder="1"/>
    <xf numFmtId="0" fontId="11" fillId="0" borderId="18" xfId="0" applyFont="1" applyBorder="1"/>
    <xf numFmtId="0" fontId="0" fillId="0" borderId="18" xfId="0" applyBorder="1" applyAlignment="1">
      <alignment horizontal="right"/>
    </xf>
    <xf numFmtId="9" fontId="0" fillId="0" borderId="18" xfId="0" applyNumberFormat="1" applyBorder="1"/>
    <xf numFmtId="166" fontId="5" fillId="0" borderId="18" xfId="0" applyNumberFormat="1" applyFont="1" applyBorder="1"/>
    <xf numFmtId="170" fontId="8" fillId="7" borderId="18" xfId="0" applyNumberFormat="1" applyFont="1" applyFill="1" applyBorder="1"/>
    <xf numFmtId="10" fontId="8" fillId="7" borderId="18" xfId="0" applyNumberFormat="1" applyFont="1" applyFill="1" applyBorder="1"/>
    <xf numFmtId="166" fontId="8" fillId="0" borderId="18" xfId="0" applyNumberFormat="1" applyFont="1" applyBorder="1"/>
    <xf numFmtId="170" fontId="8" fillId="0" borderId="18" xfId="0" applyNumberFormat="1" applyFont="1" applyFill="1" applyBorder="1" applyAlignment="1">
      <alignment horizontal="center" vertical="center"/>
    </xf>
    <xf numFmtId="170" fontId="8" fillId="0" borderId="18" xfId="0" applyNumberFormat="1" applyFont="1" applyFill="1" applyBorder="1"/>
    <xf numFmtId="0" fontId="18" fillId="0" borderId="18" xfId="0" applyFont="1" applyBorder="1"/>
    <xf numFmtId="168" fontId="18" fillId="0" borderId="18" xfId="0" applyNumberFormat="1" applyFont="1" applyBorder="1"/>
    <xf numFmtId="0" fontId="11" fillId="0" borderId="32" xfId="0" applyFont="1" applyBorder="1" applyAlignment="1">
      <alignment horizontal="center" vertical="center"/>
    </xf>
    <xf numFmtId="0" fontId="8" fillId="0" borderId="33" xfId="0" applyFont="1" applyBorder="1"/>
    <xf numFmtId="0" fontId="11" fillId="0" borderId="33" xfId="0" applyFont="1" applyBorder="1" applyAlignment="1">
      <alignment horizontal="center" vertical="center" wrapText="1"/>
    </xf>
    <xf numFmtId="169" fontId="8" fillId="0" borderId="32" xfId="0" applyNumberFormat="1" applyFont="1" applyBorder="1"/>
    <xf numFmtId="169" fontId="8" fillId="0" borderId="33" xfId="0" applyNumberFormat="1" applyFont="1" applyBorder="1"/>
    <xf numFmtId="166" fontId="8" fillId="0" borderId="33" xfId="0" applyNumberFormat="1" applyFont="1" applyBorder="1"/>
    <xf numFmtId="0" fontId="8" fillId="0" borderId="32" xfId="0" applyFont="1" applyBorder="1"/>
    <xf numFmtId="168" fontId="8" fillId="0" borderId="33" xfId="0" applyNumberFormat="1" applyFont="1" applyBorder="1"/>
    <xf numFmtId="166" fontId="8" fillId="0" borderId="32" xfId="0" applyNumberFormat="1" applyFont="1" applyBorder="1"/>
    <xf numFmtId="0" fontId="8" fillId="0" borderId="32" xfId="0" applyFont="1" applyBorder="1" applyAlignment="1">
      <alignment horizontal="right" vertical="center"/>
    </xf>
    <xf numFmtId="168" fontId="8" fillId="0" borderId="34" xfId="0" applyNumberFormat="1" applyFont="1" applyBorder="1"/>
    <xf numFmtId="166" fontId="8" fillId="0" borderId="34" xfId="0" applyNumberFormat="1" applyFont="1" applyBorder="1"/>
    <xf numFmtId="0" fontId="8" fillId="0" borderId="35" xfId="0" applyFont="1" applyBorder="1" applyAlignment="1">
      <alignment horizontal="right" vertical="center"/>
    </xf>
    <xf numFmtId="0" fontId="8" fillId="0" borderId="36" xfId="0" applyFont="1" applyBorder="1"/>
    <xf numFmtId="0" fontId="11" fillId="0" borderId="36" xfId="0" applyFont="1" applyBorder="1"/>
    <xf numFmtId="168" fontId="8" fillId="0" borderId="37" xfId="0" applyNumberFormat="1" applyFont="1" applyBorder="1"/>
    <xf numFmtId="0" fontId="8" fillId="0" borderId="35" xfId="0" applyFont="1" applyBorder="1"/>
    <xf numFmtId="0" fontId="0" fillId="0" borderId="36" xfId="0" applyBorder="1"/>
    <xf numFmtId="166" fontId="8" fillId="0" borderId="37" xfId="0" applyNumberFormat="1" applyFont="1" applyBorder="1"/>
    <xf numFmtId="0" fontId="8" fillId="0" borderId="18" xfId="0" applyFont="1" applyBorder="1" applyAlignment="1">
      <alignment horizontal="right" vertical="center"/>
    </xf>
    <xf numFmtId="168" fontId="8" fillId="0" borderId="18" xfId="0" applyNumberFormat="1" applyFont="1" applyBorder="1"/>
    <xf numFmtId="0" fontId="12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right"/>
    </xf>
    <xf numFmtId="3" fontId="5" fillId="0" borderId="18" xfId="0" applyNumberFormat="1" applyFont="1" applyBorder="1"/>
    <xf numFmtId="170" fontId="5" fillId="0" borderId="18" xfId="0" applyNumberFormat="1" applyFont="1" applyBorder="1"/>
    <xf numFmtId="0" fontId="5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right"/>
    </xf>
    <xf numFmtId="0" fontId="6" fillId="8" borderId="38" xfId="0" applyFont="1" applyFill="1" applyBorder="1"/>
    <xf numFmtId="0" fontId="5" fillId="8" borderId="39" xfId="0" applyFont="1" applyFill="1" applyBorder="1"/>
    <xf numFmtId="0" fontId="5" fillId="8" borderId="40" xfId="0" applyFont="1" applyFill="1" applyBorder="1"/>
    <xf numFmtId="0" fontId="20" fillId="8" borderId="41" xfId="0" applyFont="1" applyFill="1" applyBorder="1" applyAlignment="1">
      <alignment readingOrder="1"/>
    </xf>
    <xf numFmtId="0" fontId="5" fillId="8" borderId="42" xfId="0" applyFont="1" applyFill="1" applyBorder="1"/>
    <xf numFmtId="9" fontId="6" fillId="9" borderId="43" xfId="0" applyNumberFormat="1" applyFont="1" applyFill="1" applyBorder="1"/>
    <xf numFmtId="0" fontId="20" fillId="8" borderId="44" xfId="0" applyFont="1" applyFill="1" applyBorder="1" applyAlignment="1">
      <alignment horizontal="left" readingOrder="1"/>
    </xf>
    <xf numFmtId="0" fontId="20" fillId="8" borderId="45" xfId="0" applyFont="1" applyFill="1" applyBorder="1" applyAlignment="1">
      <alignment horizontal="left" readingOrder="1"/>
    </xf>
    <xf numFmtId="9" fontId="5" fillId="8" borderId="40" xfId="0" applyNumberFormat="1" applyFont="1" applyFill="1" applyBorder="1"/>
    <xf numFmtId="0" fontId="6" fillId="0" borderId="18" xfId="0" applyFont="1" applyBorder="1"/>
    <xf numFmtId="0" fontId="21" fillId="0" borderId="41" xfId="0" applyFont="1" applyBorder="1" applyAlignment="1">
      <alignment horizontal="left" readingOrder="1"/>
    </xf>
    <xf numFmtId="0" fontId="5" fillId="0" borderId="42" xfId="0" applyFont="1" applyBorder="1"/>
    <xf numFmtId="173" fontId="6" fillId="9" borderId="43" xfId="0" applyNumberFormat="1" applyFont="1" applyFill="1" applyBorder="1"/>
    <xf numFmtId="0" fontId="22" fillId="0" borderId="18" xfId="0" applyFont="1" applyBorder="1"/>
    <xf numFmtId="0" fontId="20" fillId="0" borderId="41" xfId="0" applyFont="1" applyBorder="1" applyAlignment="1">
      <alignment readingOrder="1"/>
    </xf>
    <xf numFmtId="0" fontId="5" fillId="0" borderId="46" xfId="0" applyFont="1" applyBorder="1"/>
    <xf numFmtId="173" fontId="6" fillId="0" borderId="42" xfId="0" applyNumberFormat="1" applyFont="1" applyBorder="1"/>
    <xf numFmtId="0" fontId="6" fillId="0" borderId="42" xfId="0" applyFont="1" applyBorder="1"/>
    <xf numFmtId="3" fontId="5" fillId="0" borderId="48" xfId="0" applyNumberFormat="1" applyFont="1" applyBorder="1" applyAlignment="1">
      <alignment horizontal="center"/>
    </xf>
    <xf numFmtId="0" fontId="6" fillId="0" borderId="48" xfId="0" applyFont="1" applyFill="1" applyBorder="1" applyAlignment="1">
      <alignment horizontal="center"/>
    </xf>
    <xf numFmtId="9" fontId="5" fillId="0" borderId="50" xfId="0" applyNumberFormat="1" applyFont="1" applyBorder="1" applyAlignment="1">
      <alignment horizontal="left"/>
    </xf>
    <xf numFmtId="9" fontId="5" fillId="0" borderId="18" xfId="0" applyNumberFormat="1" applyFont="1" applyBorder="1" applyAlignment="1">
      <alignment horizontal="right"/>
    </xf>
    <xf numFmtId="9" fontId="5" fillId="9" borderId="51" xfId="0" applyNumberFormat="1" applyFont="1" applyFill="1" applyBorder="1"/>
    <xf numFmtId="3" fontId="6" fillId="0" borderId="18" xfId="0" applyNumberFormat="1" applyFont="1" applyBorder="1" applyAlignment="1">
      <alignment horizontal="left"/>
    </xf>
    <xf numFmtId="0" fontId="21" fillId="0" borderId="50" xfId="0" applyFont="1" applyBorder="1" applyAlignment="1">
      <alignment horizontal="left" readingOrder="1"/>
    </xf>
    <xf numFmtId="0" fontId="5" fillId="0" borderId="53" xfId="0" applyFont="1" applyBorder="1"/>
    <xf numFmtId="0" fontId="5" fillId="0" borderId="54" xfId="0" applyFont="1" applyBorder="1"/>
    <xf numFmtId="0" fontId="6" fillId="0" borderId="50" xfId="0" applyFont="1" applyBorder="1"/>
    <xf numFmtId="174" fontId="6" fillId="9" borderId="52" xfId="0" applyNumberFormat="1" applyFont="1" applyFill="1" applyBorder="1"/>
    <xf numFmtId="3" fontId="5" fillId="0" borderId="48" xfId="0" applyNumberFormat="1" applyFont="1" applyBorder="1"/>
    <xf numFmtId="0" fontId="21" fillId="0" borderId="53" xfId="0" applyFont="1" applyBorder="1" applyAlignment="1">
      <alignment horizontal="left" readingOrder="1"/>
    </xf>
    <xf numFmtId="0" fontId="5" fillId="0" borderId="55" xfId="0" applyFont="1" applyBorder="1"/>
    <xf numFmtId="0" fontId="6" fillId="8" borderId="57" xfId="0" applyFont="1" applyFill="1" applyBorder="1"/>
    <xf numFmtId="0" fontId="5" fillId="8" borderId="58" xfId="0" applyFont="1" applyFill="1" applyBorder="1"/>
    <xf numFmtId="0" fontId="6" fillId="0" borderId="53" xfId="0" applyFont="1" applyBorder="1"/>
    <xf numFmtId="0" fontId="6" fillId="0" borderId="55" xfId="0" applyFont="1" applyBorder="1"/>
    <xf numFmtId="173" fontId="6" fillId="9" borderId="56" xfId="0" applyNumberFormat="1" applyFont="1" applyFill="1" applyBorder="1"/>
    <xf numFmtId="170" fontId="5" fillId="9" borderId="51" xfId="0" applyNumberFormat="1" applyFont="1" applyFill="1" applyBorder="1"/>
    <xf numFmtId="0" fontId="21" fillId="0" borderId="38" xfId="0" applyFont="1" applyBorder="1" applyAlignment="1">
      <alignment horizontal="left" readingOrder="1"/>
    </xf>
    <xf numFmtId="0" fontId="5" fillId="0" borderId="39" xfId="0" applyFont="1" applyBorder="1"/>
    <xf numFmtId="173" fontId="6" fillId="0" borderId="60" xfId="0" applyNumberFormat="1" applyFont="1" applyBorder="1"/>
    <xf numFmtId="0" fontId="21" fillId="0" borderId="61" xfId="0" applyFont="1" applyBorder="1" applyAlignment="1">
      <alignment horizontal="left" readingOrder="1"/>
    </xf>
    <xf numFmtId="0" fontId="5" fillId="0" borderId="62" xfId="0" applyFont="1" applyBorder="1"/>
    <xf numFmtId="0" fontId="6" fillId="0" borderId="54" xfId="0" applyFont="1" applyBorder="1"/>
    <xf numFmtId="173" fontId="6" fillId="9" borderId="63" xfId="0" applyNumberFormat="1" applyFont="1" applyFill="1" applyBorder="1"/>
    <xf numFmtId="173" fontId="6" fillId="0" borderId="56" xfId="0" applyNumberFormat="1" applyFont="1" applyBorder="1"/>
    <xf numFmtId="0" fontId="5" fillId="8" borderId="65" xfId="0" applyFont="1" applyFill="1" applyBorder="1"/>
    <xf numFmtId="170" fontId="6" fillId="9" borderId="66" xfId="0" applyNumberFormat="1" applyFont="1" applyFill="1" applyBorder="1"/>
    <xf numFmtId="9" fontId="5" fillId="0" borderId="53" xfId="0" applyNumberFormat="1" applyFont="1" applyBorder="1" applyAlignment="1">
      <alignment horizontal="left"/>
    </xf>
    <xf numFmtId="9" fontId="5" fillId="0" borderId="55" xfId="0" applyNumberFormat="1" applyFont="1" applyBorder="1" applyAlignment="1">
      <alignment horizontal="right"/>
    </xf>
    <xf numFmtId="170" fontId="5" fillId="9" borderId="63" xfId="0" applyNumberFormat="1" applyFont="1" applyFill="1" applyBorder="1"/>
    <xf numFmtId="173" fontId="6" fillId="0" borderId="67" xfId="0" applyNumberFormat="1" applyFont="1" applyFill="1" applyBorder="1"/>
    <xf numFmtId="0" fontId="5" fillId="0" borderId="38" xfId="0" applyFont="1" applyBorder="1"/>
    <xf numFmtId="175" fontId="5" fillId="9" borderId="40" xfId="0" applyNumberFormat="1" applyFont="1" applyFill="1" applyBorder="1" applyAlignment="1">
      <alignment horizontal="center"/>
    </xf>
    <xf numFmtId="0" fontId="6" fillId="8" borderId="39" xfId="0" applyFont="1" applyFill="1" applyBorder="1"/>
    <xf numFmtId="0" fontId="6" fillId="8" borderId="40" xfId="0" applyFont="1" applyFill="1" applyBorder="1"/>
    <xf numFmtId="170" fontId="5" fillId="0" borderId="64" xfId="0" applyNumberFormat="1" applyFont="1" applyBorder="1"/>
    <xf numFmtId="173" fontId="5" fillId="0" borderId="56" xfId="0" applyNumberFormat="1" applyFont="1" applyFill="1" applyBorder="1"/>
    <xf numFmtId="0" fontId="5" fillId="0" borderId="41" xfId="0" applyFont="1" applyBorder="1"/>
    <xf numFmtId="0" fontId="5" fillId="0" borderId="68" xfId="0" applyFont="1" applyBorder="1"/>
    <xf numFmtId="0" fontId="17" fillId="0" borderId="41" xfId="0" applyFont="1" applyBorder="1"/>
    <xf numFmtId="0" fontId="0" fillId="0" borderId="42" xfId="0" applyBorder="1"/>
    <xf numFmtId="0" fontId="0" fillId="0" borderId="68" xfId="0" applyBorder="1"/>
    <xf numFmtId="0" fontId="6" fillId="10" borderId="69" xfId="0" applyFont="1" applyFill="1" applyBorder="1" applyAlignment="1"/>
    <xf numFmtId="3" fontId="6" fillId="10" borderId="70" xfId="0" applyNumberFormat="1" applyFont="1" applyFill="1" applyBorder="1" applyAlignment="1"/>
    <xf numFmtId="0" fontId="6" fillId="10" borderId="70" xfId="0" applyFont="1" applyFill="1" applyBorder="1" applyAlignment="1"/>
    <xf numFmtId="173" fontId="6" fillId="10" borderId="71" xfId="0" applyNumberFormat="1" applyFont="1" applyFill="1" applyBorder="1"/>
    <xf numFmtId="0" fontId="5" fillId="0" borderId="50" xfId="0" applyFont="1" applyBorder="1"/>
    <xf numFmtId="9" fontId="5" fillId="9" borderId="43" xfId="0" applyNumberFormat="1" applyFont="1" applyFill="1" applyBorder="1"/>
    <xf numFmtId="0" fontId="5" fillId="0" borderId="51" xfId="0" applyFont="1" applyBorder="1"/>
    <xf numFmtId="0" fontId="0" fillId="0" borderId="72" xfId="0" applyBorder="1"/>
    <xf numFmtId="0" fontId="23" fillId="0" borderId="36" xfId="1" applyFont="1" applyBorder="1" applyAlignment="1" applyProtection="1"/>
    <xf numFmtId="0" fontId="0" fillId="0" borderId="73" xfId="0" applyBorder="1"/>
    <xf numFmtId="0" fontId="20" fillId="8" borderId="74" xfId="0" applyFont="1" applyFill="1" applyBorder="1" applyAlignment="1">
      <alignment horizontal="left" readingOrder="1"/>
    </xf>
    <xf numFmtId="176" fontId="5" fillId="0" borderId="18" xfId="2" applyNumberFormat="1" applyFont="1" applyFill="1" applyBorder="1"/>
    <xf numFmtId="0" fontId="6" fillId="0" borderId="18" xfId="0" applyFont="1" applyBorder="1" applyAlignment="1">
      <alignment horizontal="left"/>
    </xf>
    <xf numFmtId="170" fontId="5" fillId="9" borderId="52" xfId="0" applyNumberFormat="1" applyFont="1" applyFill="1" applyBorder="1"/>
    <xf numFmtId="0" fontId="0" fillId="0" borderId="75" xfId="0" applyBorder="1"/>
    <xf numFmtId="0" fontId="0" fillId="0" borderId="51" xfId="0" applyBorder="1"/>
    <xf numFmtId="9" fontId="5" fillId="9" borderId="63" xfId="0" applyNumberFormat="1" applyFont="1" applyFill="1" applyBorder="1"/>
    <xf numFmtId="0" fontId="5" fillId="0" borderId="50" xfId="0" applyFont="1" applyBorder="1" applyAlignment="1">
      <alignment horizontal="left"/>
    </xf>
    <xf numFmtId="0" fontId="0" fillId="0" borderId="50" xfId="0" applyBorder="1" applyAlignment="1">
      <alignment horizontal="center"/>
    </xf>
    <xf numFmtId="0" fontId="0" fillId="0" borderId="29" xfId="0" applyBorder="1"/>
    <xf numFmtId="0" fontId="0" fillId="0" borderId="30" xfId="0" applyBorder="1"/>
    <xf numFmtId="0" fontId="0" fillId="0" borderId="30" xfId="0" applyFill="1" applyBorder="1"/>
    <xf numFmtId="0" fontId="0" fillId="0" borderId="76" xfId="0" applyFill="1" applyBorder="1"/>
    <xf numFmtId="177" fontId="19" fillId="0" borderId="18" xfId="0" applyNumberFormat="1" applyFont="1" applyBorder="1" applyAlignment="1">
      <alignment horizontal="center"/>
    </xf>
    <xf numFmtId="170" fontId="5" fillId="0" borderId="52" xfId="0" applyNumberFormat="1" applyFont="1" applyFill="1" applyBorder="1"/>
    <xf numFmtId="0" fontId="5" fillId="0" borderId="53" xfId="0" applyFont="1" applyBorder="1" applyAlignment="1">
      <alignment horizontal="left"/>
    </xf>
    <xf numFmtId="0" fontId="5" fillId="0" borderId="63" xfId="0" applyFont="1" applyBorder="1"/>
    <xf numFmtId="2" fontId="0" fillId="9" borderId="32" xfId="0" applyNumberFormat="1" applyFill="1" applyBorder="1" applyAlignment="1">
      <alignment horizontal="center"/>
    </xf>
    <xf numFmtId="2" fontId="0" fillId="9" borderId="18" xfId="0" applyNumberFormat="1" applyFill="1" applyBorder="1" applyAlignment="1">
      <alignment horizontal="center"/>
    </xf>
    <xf numFmtId="2" fontId="0" fillId="0" borderId="18" xfId="0" applyNumberFormat="1" applyFill="1" applyBorder="1"/>
    <xf numFmtId="2" fontId="0" fillId="0" borderId="51" xfId="0" applyNumberFormat="1" applyFill="1" applyBorder="1"/>
    <xf numFmtId="170" fontId="5" fillId="0" borderId="64" xfId="0" applyNumberFormat="1" applyFont="1" applyBorder="1" applyAlignment="1">
      <alignment horizontal="center"/>
    </xf>
    <xf numFmtId="173" fontId="6" fillId="0" borderId="67" xfId="0" applyNumberFormat="1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6" fontId="5" fillId="0" borderId="18" xfId="0" applyNumberFormat="1" applyFont="1" applyBorder="1"/>
    <xf numFmtId="170" fontId="5" fillId="9" borderId="56" xfId="0" applyNumberFormat="1" applyFont="1" applyFill="1" applyBorder="1"/>
    <xf numFmtId="3" fontId="0" fillId="0" borderId="18" xfId="0" applyNumberFormat="1" applyFill="1" applyBorder="1"/>
    <xf numFmtId="3" fontId="0" fillId="0" borderId="51" xfId="0" applyNumberFormat="1" applyFill="1" applyBorder="1"/>
    <xf numFmtId="10" fontId="5" fillId="0" borderId="18" xfId="0" applyNumberFormat="1" applyFont="1" applyBorder="1" applyAlignment="1">
      <alignment horizontal="right"/>
    </xf>
    <xf numFmtId="9" fontId="5" fillId="9" borderId="56" xfId="0" applyNumberFormat="1" applyFont="1" applyFill="1" applyBorder="1"/>
    <xf numFmtId="2" fontId="0" fillId="0" borderId="63" xfId="0" applyNumberFormat="1" applyBorder="1"/>
    <xf numFmtId="0" fontId="23" fillId="0" borderId="18" xfId="1" applyFont="1" applyBorder="1" applyAlignment="1" applyProtection="1"/>
    <xf numFmtId="177" fontId="24" fillId="0" borderId="18" xfId="0" applyNumberFormat="1" applyFont="1" applyBorder="1" applyAlignment="1">
      <alignment horizontal="center"/>
    </xf>
    <xf numFmtId="177" fontId="23" fillId="0" borderId="18" xfId="1" applyNumberFormat="1" applyFont="1" applyBorder="1" applyAlignment="1" applyProtection="1">
      <alignment horizontal="left"/>
    </xf>
    <xf numFmtId="9" fontId="5" fillId="10" borderId="66" xfId="0" applyNumberFormat="1" applyFont="1" applyFill="1" applyBorder="1"/>
    <xf numFmtId="0" fontId="6" fillId="11" borderId="77" xfId="0" applyFont="1" applyFill="1" applyBorder="1" applyAlignment="1">
      <alignment horizontal="left" vertical="center" wrapText="1"/>
    </xf>
    <xf numFmtId="9" fontId="6" fillId="11" borderId="38" xfId="0" applyNumberFormat="1" applyFont="1" applyFill="1" applyBorder="1" applyAlignment="1">
      <alignment vertical="center"/>
    </xf>
    <xf numFmtId="0" fontId="6" fillId="0" borderId="38" xfId="0" applyFont="1" applyFill="1" applyBorder="1" applyAlignment="1">
      <alignment horizontal="center" wrapText="1"/>
    </xf>
    <xf numFmtId="0" fontId="0" fillId="0" borderId="40" xfId="0" applyFill="1" applyBorder="1"/>
    <xf numFmtId="0" fontId="6" fillId="12" borderId="38" xfId="0" applyFont="1" applyFill="1" applyBorder="1"/>
    <xf numFmtId="0" fontId="0" fillId="12" borderId="39" xfId="0" applyFill="1" applyBorder="1"/>
    <xf numFmtId="0" fontId="6" fillId="13" borderId="41" xfId="0" applyFont="1" applyFill="1" applyBorder="1"/>
    <xf numFmtId="0" fontId="6" fillId="13" borderId="42" xfId="0" applyFont="1" applyFill="1" applyBorder="1"/>
    <xf numFmtId="0" fontId="5" fillId="13" borderId="42" xfId="0" applyFont="1" applyFill="1" applyBorder="1"/>
    <xf numFmtId="0" fontId="6" fillId="13" borderId="42" xfId="0" applyFont="1" applyFill="1" applyBorder="1" applyAlignment="1">
      <alignment horizontal="left"/>
    </xf>
    <xf numFmtId="0" fontId="6" fillId="13" borderId="39" xfId="0" applyFont="1" applyFill="1" applyBorder="1" applyAlignment="1">
      <alignment horizontal="left"/>
    </xf>
    <xf numFmtId="0" fontId="6" fillId="13" borderId="40" xfId="0" applyFont="1" applyFill="1" applyBorder="1" applyAlignment="1">
      <alignment horizontal="left"/>
    </xf>
    <xf numFmtId="0" fontId="6" fillId="13" borderId="38" xfId="0" applyFont="1" applyFill="1" applyBorder="1" applyAlignment="1">
      <alignment horizontal="left"/>
    </xf>
    <xf numFmtId="0" fontId="6" fillId="13" borderId="42" xfId="0" applyFont="1" applyFill="1" applyBorder="1" applyAlignment="1">
      <alignment horizontal="center"/>
    </xf>
    <xf numFmtId="0" fontId="5" fillId="13" borderId="39" xfId="0" applyFont="1" applyFill="1" applyBorder="1" applyAlignment="1">
      <alignment horizontal="left"/>
    </xf>
    <xf numFmtId="0" fontId="5" fillId="13" borderId="39" xfId="0" applyFont="1" applyFill="1" applyBorder="1" applyAlignment="1">
      <alignment horizontal="center"/>
    </xf>
    <xf numFmtId="0" fontId="6" fillId="15" borderId="38" xfId="0" applyFont="1" applyFill="1" applyBorder="1" applyAlignment="1"/>
    <xf numFmtId="0" fontId="6" fillId="15" borderId="39" xfId="0" applyFont="1" applyFill="1" applyBorder="1" applyAlignment="1"/>
    <xf numFmtId="0" fontId="5" fillId="15" borderId="40" xfId="0" applyFont="1" applyFill="1" applyBorder="1" applyAlignment="1">
      <alignment horizontal="center"/>
    </xf>
    <xf numFmtId="0" fontId="6" fillId="16" borderId="41" xfId="0" applyFont="1" applyFill="1" applyBorder="1" applyAlignment="1"/>
    <xf numFmtId="0" fontId="6" fillId="16" borderId="42" xfId="0" applyFont="1" applyFill="1" applyBorder="1" applyAlignment="1"/>
    <xf numFmtId="0" fontId="6" fillId="16" borderId="39" xfId="0" applyFont="1" applyFill="1" applyBorder="1" applyAlignment="1"/>
    <xf numFmtId="0" fontId="6" fillId="12" borderId="77" xfId="0" applyFont="1" applyFill="1" applyBorder="1" applyAlignment="1"/>
    <xf numFmtId="0" fontId="5" fillId="0" borderId="77" xfId="0" applyFont="1" applyBorder="1" applyAlignment="1">
      <alignment horizontal="right"/>
    </xf>
    <xf numFmtId="3" fontId="5" fillId="0" borderId="77" xfId="0" applyNumberFormat="1" applyFont="1" applyBorder="1" applyAlignment="1">
      <alignment horizontal="center" wrapText="1"/>
    </xf>
    <xf numFmtId="0" fontId="5" fillId="15" borderId="50" xfId="0" applyFont="1" applyFill="1" applyBorder="1" applyAlignment="1">
      <alignment horizontal="center" wrapText="1"/>
    </xf>
    <xf numFmtId="0" fontId="5" fillId="0" borderId="50" xfId="0" applyFont="1" applyFill="1" applyBorder="1" applyAlignment="1">
      <alignment horizontal="center" wrapText="1"/>
    </xf>
    <xf numFmtId="0" fontId="5" fillId="12" borderId="50" xfId="0" applyFont="1" applyFill="1" applyBorder="1" applyAlignment="1">
      <alignment horizontal="center" wrapText="1"/>
    </xf>
    <xf numFmtId="0" fontId="5" fillId="12" borderId="41" xfId="0" applyFont="1" applyFill="1" applyBorder="1" applyAlignment="1">
      <alignment horizontal="center" wrapText="1"/>
    </xf>
    <xf numFmtId="0" fontId="5" fillId="12" borderId="77" xfId="0" applyFont="1" applyFill="1" applyBorder="1" applyAlignment="1">
      <alignment horizontal="center" wrapText="1"/>
    </xf>
    <xf numFmtId="3" fontId="5" fillId="0" borderId="41" xfId="0" applyNumberFormat="1" applyFont="1" applyFill="1" applyBorder="1" applyAlignment="1">
      <alignment horizontal="right" wrapText="1"/>
    </xf>
    <xf numFmtId="3" fontId="5" fillId="0" borderId="42" xfId="0" applyNumberFormat="1" applyFont="1" applyFill="1" applyBorder="1" applyAlignment="1">
      <alignment horizontal="right" wrapText="1"/>
    </xf>
    <xf numFmtId="3" fontId="5" fillId="0" borderId="68" xfId="0" applyNumberFormat="1" applyFont="1" applyFill="1" applyBorder="1" applyAlignment="1">
      <alignment horizontal="right" wrapText="1"/>
    </xf>
    <xf numFmtId="3" fontId="5" fillId="13" borderId="18" xfId="0" applyNumberFormat="1" applyFont="1" applyFill="1" applyBorder="1" applyAlignment="1">
      <alignment horizontal="right" wrapText="1"/>
    </xf>
    <xf numFmtId="3" fontId="5" fillId="13" borderId="51" xfId="0" applyNumberFormat="1" applyFont="1" applyFill="1" applyBorder="1" applyAlignment="1">
      <alignment horizontal="right" wrapText="1"/>
    </xf>
    <xf numFmtId="3" fontId="5" fillId="17" borderId="50" xfId="0" applyNumberFormat="1" applyFont="1" applyFill="1" applyBorder="1" applyAlignment="1">
      <alignment horizontal="right" wrapText="1"/>
    </xf>
    <xf numFmtId="3" fontId="5" fillId="13" borderId="41" xfId="0" applyNumberFormat="1" applyFont="1" applyFill="1" applyBorder="1" applyAlignment="1">
      <alignment horizontal="right" wrapText="1"/>
    </xf>
    <xf numFmtId="3" fontId="5" fillId="13" borderId="68" xfId="0" applyNumberFormat="1" applyFont="1" applyFill="1" applyBorder="1" applyAlignment="1">
      <alignment horizontal="right" wrapText="1"/>
    </xf>
    <xf numFmtId="3" fontId="5" fillId="13" borderId="42" xfId="0" applyNumberFormat="1" applyFont="1" applyFill="1" applyBorder="1" applyAlignment="1">
      <alignment horizontal="right" wrapText="1"/>
    </xf>
    <xf numFmtId="0" fontId="5" fillId="13" borderId="68" xfId="0" applyFont="1" applyFill="1" applyBorder="1" applyAlignment="1">
      <alignment horizontal="right" wrapText="1"/>
    </xf>
    <xf numFmtId="3" fontId="5" fillId="15" borderId="50" xfId="0" applyNumberFormat="1" applyFont="1" applyFill="1" applyBorder="1" applyAlignment="1">
      <alignment horizontal="right" wrapText="1"/>
    </xf>
    <xf numFmtId="3" fontId="5" fillId="15" borderId="18" xfId="0" applyNumberFormat="1" applyFont="1" applyFill="1" applyBorder="1" applyAlignment="1">
      <alignment horizontal="right" wrapText="1"/>
    </xf>
    <xf numFmtId="3" fontId="6" fillId="14" borderId="50" xfId="0" applyNumberFormat="1" applyFont="1" applyFill="1" applyBorder="1" applyAlignment="1">
      <alignment horizontal="center" wrapText="1"/>
    </xf>
    <xf numFmtId="170" fontId="5" fillId="16" borderId="41" xfId="0" applyNumberFormat="1" applyFont="1" applyFill="1" applyBorder="1" applyAlignment="1">
      <alignment horizontal="center" wrapText="1"/>
    </xf>
    <xf numFmtId="0" fontId="5" fillId="16" borderId="42" xfId="0" applyFont="1" applyFill="1" applyBorder="1" applyAlignment="1">
      <alignment horizontal="center" wrapText="1"/>
    </xf>
    <xf numFmtId="0" fontId="5" fillId="16" borderId="41" xfId="0" applyFont="1" applyFill="1" applyBorder="1" applyAlignment="1">
      <alignment horizontal="center" wrapText="1"/>
    </xf>
    <xf numFmtId="0" fontId="5" fillId="16" borderId="68" xfId="0" applyFont="1" applyFill="1" applyBorder="1" applyAlignment="1">
      <alignment horizontal="center" wrapText="1"/>
    </xf>
    <xf numFmtId="0" fontId="5" fillId="16" borderId="77" xfId="0" applyFont="1" applyFill="1" applyBorder="1" applyAlignment="1">
      <alignment horizontal="center" wrapText="1"/>
    </xf>
    <xf numFmtId="0" fontId="5" fillId="16" borderId="50" xfId="0" applyFont="1" applyFill="1" applyBorder="1" applyAlignment="1">
      <alignment horizontal="center" wrapText="1"/>
    </xf>
    <xf numFmtId="0" fontId="5" fillId="16" borderId="18" xfId="0" applyFont="1" applyFill="1" applyBorder="1" applyAlignment="1">
      <alignment horizontal="center" wrapText="1"/>
    </xf>
    <xf numFmtId="0" fontId="5" fillId="12" borderId="78" xfId="0" applyFont="1" applyFill="1" applyBorder="1" applyAlignment="1">
      <alignment horizontal="center" wrapText="1"/>
    </xf>
    <xf numFmtId="0" fontId="5" fillId="0" borderId="79" xfId="0" applyFont="1" applyBorder="1" applyAlignment="1">
      <alignment horizontal="right"/>
    </xf>
    <xf numFmtId="3" fontId="5" fillId="0" borderId="79" xfId="0" applyNumberFormat="1" applyFont="1" applyBorder="1" applyAlignment="1">
      <alignment horizontal="center"/>
    </xf>
    <xf numFmtId="0" fontId="5" fillId="15" borderId="53" xfId="0" applyFont="1" applyFill="1" applyBorder="1" applyAlignment="1">
      <alignment horizontal="center"/>
    </xf>
    <xf numFmtId="0" fontId="5" fillId="12" borderId="53" xfId="0" applyFont="1" applyFill="1" applyBorder="1" applyAlignment="1">
      <alignment horizontal="center"/>
    </xf>
    <xf numFmtId="170" fontId="5" fillId="12" borderId="79" xfId="0" applyNumberFormat="1" applyFont="1" applyFill="1" applyBorder="1" applyAlignment="1">
      <alignment horizontal="center"/>
    </xf>
    <xf numFmtId="170" fontId="5" fillId="0" borderId="53" xfId="0" applyNumberFormat="1" applyFont="1" applyFill="1" applyBorder="1" applyAlignment="1">
      <alignment horizontal="right"/>
    </xf>
    <xf numFmtId="170" fontId="5" fillId="0" borderId="55" xfId="0" applyNumberFormat="1" applyFont="1" applyFill="1" applyBorder="1" applyAlignment="1">
      <alignment horizontal="right"/>
    </xf>
    <xf numFmtId="9" fontId="5" fillId="0" borderId="63" xfId="0" applyNumberFormat="1" applyFont="1" applyFill="1" applyBorder="1" applyAlignment="1">
      <alignment horizontal="right"/>
    </xf>
    <xf numFmtId="9" fontId="5" fillId="0" borderId="55" xfId="0" applyNumberFormat="1" applyFont="1" applyFill="1" applyBorder="1" applyAlignment="1">
      <alignment horizontal="right"/>
    </xf>
    <xf numFmtId="3" fontId="5" fillId="15" borderId="53" xfId="0" applyNumberFormat="1" applyFont="1" applyFill="1" applyBorder="1" applyAlignment="1">
      <alignment horizontal="right"/>
    </xf>
    <xf numFmtId="9" fontId="5" fillId="15" borderId="55" xfId="0" applyNumberFormat="1" applyFont="1" applyFill="1" applyBorder="1" applyAlignment="1">
      <alignment horizontal="right"/>
    </xf>
    <xf numFmtId="3" fontId="6" fillId="14" borderId="53" xfId="0" applyNumberFormat="1" applyFont="1" applyFill="1" applyBorder="1" applyAlignment="1">
      <alignment horizontal="center"/>
    </xf>
    <xf numFmtId="0" fontId="5" fillId="16" borderId="53" xfId="0" applyFont="1" applyFill="1" applyBorder="1" applyAlignment="1">
      <alignment horizontal="center" wrapText="1"/>
    </xf>
    <xf numFmtId="173" fontId="5" fillId="16" borderId="55" xfId="0" applyNumberFormat="1" applyFont="1" applyFill="1" applyBorder="1" applyAlignment="1">
      <alignment horizontal="center" wrapText="1"/>
    </xf>
    <xf numFmtId="173" fontId="5" fillId="12" borderId="79" xfId="0" applyNumberFormat="1" applyFont="1" applyFill="1" applyBorder="1" applyAlignment="1">
      <alignment horizontal="center" wrapText="1"/>
    </xf>
    <xf numFmtId="0" fontId="5" fillId="0" borderId="80" xfId="0" applyFont="1" applyBorder="1" applyAlignment="1">
      <alignment horizontal="right"/>
    </xf>
    <xf numFmtId="3" fontId="5" fillId="15" borderId="50" xfId="0" applyNumberFormat="1" applyFont="1" applyFill="1" applyBorder="1"/>
    <xf numFmtId="3" fontId="5" fillId="0" borderId="41" xfId="0" applyNumberFormat="1" applyFont="1" applyFill="1" applyBorder="1"/>
    <xf numFmtId="3" fontId="5" fillId="0" borderId="42" xfId="0" applyNumberFormat="1" applyFont="1" applyFill="1" applyBorder="1"/>
    <xf numFmtId="3" fontId="5" fillId="0" borderId="68" xfId="0" applyNumberFormat="1" applyFont="1" applyFill="1" applyBorder="1"/>
    <xf numFmtId="3" fontId="5" fillId="13" borderId="41" xfId="0" applyNumberFormat="1" applyFont="1" applyFill="1" applyBorder="1"/>
    <xf numFmtId="3" fontId="5" fillId="13" borderId="42" xfId="0" applyNumberFormat="1" applyFont="1" applyFill="1" applyBorder="1"/>
    <xf numFmtId="3" fontId="5" fillId="17" borderId="77" xfId="0" applyNumberFormat="1" applyFont="1" applyFill="1" applyBorder="1"/>
    <xf numFmtId="3" fontId="5" fillId="14" borderId="42" xfId="0" applyNumberFormat="1" applyFont="1" applyFill="1" applyBorder="1"/>
    <xf numFmtId="3" fontId="5" fillId="13" borderId="68" xfId="0" applyNumberFormat="1" applyFont="1" applyFill="1" applyBorder="1"/>
    <xf numFmtId="3" fontId="5" fillId="15" borderId="18" xfId="0" applyNumberFormat="1" applyFont="1" applyFill="1" applyBorder="1"/>
    <xf numFmtId="3" fontId="5" fillId="16" borderId="77" xfId="0" applyNumberFormat="1" applyFont="1" applyFill="1" applyBorder="1"/>
    <xf numFmtId="3" fontId="5" fillId="16" borderId="68" xfId="0" applyNumberFormat="1" applyFont="1" applyFill="1" applyBorder="1"/>
    <xf numFmtId="170" fontId="5" fillId="16" borderId="50" xfId="0" applyNumberFormat="1" applyFont="1" applyFill="1" applyBorder="1"/>
    <xf numFmtId="1" fontId="5" fillId="12" borderId="51" xfId="0" applyNumberFormat="1" applyFont="1" applyFill="1" applyBorder="1"/>
    <xf numFmtId="3" fontId="5" fillId="0" borderId="78" xfId="0" applyNumberFormat="1" applyFont="1" applyFill="1" applyBorder="1"/>
    <xf numFmtId="3" fontId="5" fillId="12" borderId="50" xfId="0" applyNumberFormat="1" applyFont="1" applyFill="1" applyBorder="1"/>
    <xf numFmtId="3" fontId="5" fillId="12" borderId="18" xfId="0" applyNumberFormat="1" applyFont="1" applyFill="1" applyBorder="1"/>
    <xf numFmtId="3" fontId="5" fillId="12" borderId="51" xfId="0" applyNumberFormat="1" applyFont="1" applyFill="1" applyBorder="1"/>
    <xf numFmtId="3" fontId="5" fillId="0" borderId="50" xfId="0" applyNumberFormat="1" applyFont="1" applyFill="1" applyBorder="1"/>
    <xf numFmtId="3" fontId="5" fillId="0" borderId="18" xfId="0" applyNumberFormat="1" applyFont="1" applyFill="1" applyBorder="1"/>
    <xf numFmtId="3" fontId="5" fillId="0" borderId="51" xfId="0" applyNumberFormat="1" applyFont="1" applyFill="1" applyBorder="1"/>
    <xf numFmtId="3" fontId="5" fillId="13" borderId="50" xfId="0" applyNumberFormat="1" applyFont="1" applyFill="1" applyBorder="1"/>
    <xf numFmtId="3" fontId="5" fillId="13" borderId="18" xfId="0" applyNumberFormat="1" applyFont="1" applyFill="1" applyBorder="1"/>
    <xf numFmtId="3" fontId="5" fillId="17" borderId="78" xfId="0" applyNumberFormat="1" applyFont="1" applyFill="1" applyBorder="1"/>
    <xf numFmtId="3" fontId="5" fillId="14" borderId="18" xfId="0" applyNumberFormat="1" applyFont="1" applyFill="1" applyBorder="1"/>
    <xf numFmtId="3" fontId="5" fillId="13" borderId="51" xfId="0" applyNumberFormat="1" applyFont="1" applyFill="1" applyBorder="1"/>
    <xf numFmtId="3" fontId="5" fillId="16" borderId="78" xfId="0" applyNumberFormat="1" applyFont="1" applyFill="1" applyBorder="1"/>
    <xf numFmtId="3" fontId="5" fillId="16" borderId="50" xfId="0" applyNumberFormat="1" applyFont="1" applyFill="1" applyBorder="1"/>
    <xf numFmtId="3" fontId="5" fillId="16" borderId="18" xfId="0" applyNumberFormat="1" applyFont="1" applyFill="1" applyBorder="1"/>
    <xf numFmtId="3" fontId="5" fillId="16" borderId="51" xfId="0" applyNumberFormat="1" applyFont="1" applyFill="1" applyBorder="1"/>
    <xf numFmtId="0" fontId="5" fillId="0" borderId="81" xfId="0" applyFont="1" applyBorder="1" applyAlignment="1">
      <alignment horizontal="right"/>
    </xf>
    <xf numFmtId="3" fontId="5" fillId="0" borderId="55" xfId="0" applyNumberFormat="1" applyFont="1" applyBorder="1"/>
    <xf numFmtId="3" fontId="5" fillId="15" borderId="53" xfId="0" applyNumberFormat="1" applyFont="1" applyFill="1" applyBorder="1"/>
    <xf numFmtId="3" fontId="5" fillId="0" borderId="79" xfId="0" applyNumberFormat="1" applyFont="1" applyFill="1" applyBorder="1"/>
    <xf numFmtId="3" fontId="5" fillId="12" borderId="53" xfId="0" applyNumberFormat="1" applyFont="1" applyFill="1" applyBorder="1"/>
    <xf numFmtId="3" fontId="5" fillId="12" borderId="55" xfId="0" applyNumberFormat="1" applyFont="1" applyFill="1" applyBorder="1"/>
    <xf numFmtId="3" fontId="5" fillId="12" borderId="63" xfId="0" applyNumberFormat="1" applyFont="1" applyFill="1" applyBorder="1"/>
    <xf numFmtId="3" fontId="5" fillId="0" borderId="53" xfId="0" applyNumberFormat="1" applyFont="1" applyFill="1" applyBorder="1"/>
    <xf numFmtId="3" fontId="5" fillId="0" borderId="55" xfId="0" applyNumberFormat="1" applyFont="1" applyFill="1" applyBorder="1"/>
    <xf numFmtId="3" fontId="5" fillId="0" borderId="63" xfId="0" applyNumberFormat="1" applyFont="1" applyFill="1" applyBorder="1"/>
    <xf numFmtId="3" fontId="5" fillId="13" borderId="53" xfId="0" applyNumberFormat="1" applyFont="1" applyFill="1" applyBorder="1"/>
    <xf numFmtId="3" fontId="5" fillId="13" borderId="55" xfId="0" applyNumberFormat="1" applyFont="1" applyFill="1" applyBorder="1"/>
    <xf numFmtId="3" fontId="5" fillId="17" borderId="79" xfId="0" applyNumberFormat="1" applyFont="1" applyFill="1" applyBorder="1"/>
    <xf numFmtId="3" fontId="5" fillId="14" borderId="55" xfId="0" applyNumberFormat="1" applyFont="1" applyFill="1" applyBorder="1"/>
    <xf numFmtId="3" fontId="5" fillId="13" borderId="63" xfId="0" applyNumberFormat="1" applyFont="1" applyFill="1" applyBorder="1"/>
    <xf numFmtId="3" fontId="5" fillId="15" borderId="55" xfId="0" applyNumberFormat="1" applyFont="1" applyFill="1" applyBorder="1"/>
    <xf numFmtId="3" fontId="5" fillId="16" borderId="79" xfId="0" applyNumberFormat="1" applyFont="1" applyFill="1" applyBorder="1"/>
    <xf numFmtId="3" fontId="5" fillId="16" borderId="53" xfId="0" applyNumberFormat="1" applyFont="1" applyFill="1" applyBorder="1"/>
    <xf numFmtId="3" fontId="5" fillId="16" borderId="55" xfId="0" applyNumberFormat="1" applyFont="1" applyFill="1" applyBorder="1"/>
    <xf numFmtId="3" fontId="5" fillId="16" borderId="63" xfId="0" applyNumberFormat="1" applyFont="1" applyFill="1" applyBorder="1"/>
    <xf numFmtId="170" fontId="5" fillId="16" borderId="53" xfId="0" applyNumberFormat="1" applyFont="1" applyFill="1" applyBorder="1"/>
    <xf numFmtId="1" fontId="5" fillId="12" borderId="63" xfId="0" applyNumberFormat="1" applyFont="1" applyFill="1" applyBorder="1"/>
    <xf numFmtId="3" fontId="5" fillId="0" borderId="79" xfId="0" applyNumberFormat="1" applyFont="1" applyBorder="1"/>
    <xf numFmtId="0" fontId="25" fillId="0" borderId="18" xfId="0" applyFont="1" applyBorder="1" applyAlignment="1">
      <alignment horizontal="left"/>
    </xf>
    <xf numFmtId="173" fontId="5" fillId="0" borderId="52" xfId="0" applyNumberFormat="1" applyFont="1" applyFill="1" applyBorder="1"/>
    <xf numFmtId="3" fontId="20" fillId="18" borderId="64" xfId="0" applyNumberFormat="1" applyFont="1" applyFill="1" applyBorder="1" applyAlignment="1">
      <alignment readingOrder="1"/>
    </xf>
    <xf numFmtId="9" fontId="6" fillId="18" borderId="48" xfId="0" applyNumberFormat="1" applyFont="1" applyFill="1" applyBorder="1" applyAlignment="1">
      <alignment horizontal="center"/>
    </xf>
    <xf numFmtId="166" fontId="8" fillId="19" borderId="8" xfId="0" applyNumberFormat="1" applyFont="1" applyFill="1" applyBorder="1"/>
    <xf numFmtId="0" fontId="10" fillId="0" borderId="18" xfId="0" applyFont="1" applyBorder="1"/>
    <xf numFmtId="0" fontId="12" fillId="0" borderId="18" xfId="0" applyFont="1" applyBorder="1" applyAlignment="1">
      <alignment horizontal="center" wrapText="1"/>
    </xf>
    <xf numFmtId="0" fontId="0" fillId="0" borderId="18" xfId="0" applyBorder="1"/>
    <xf numFmtId="0" fontId="11" fillId="0" borderId="32" xfId="0" applyFont="1" applyBorder="1" applyAlignment="1">
      <alignment horizontal="center" vertical="center"/>
    </xf>
    <xf numFmtId="0" fontId="5" fillId="0" borderId="38" xfId="0" applyFont="1" applyFill="1" applyBorder="1" applyAlignment="1">
      <alignment horizontal="center"/>
    </xf>
    <xf numFmtId="10" fontId="8" fillId="0" borderId="18" xfId="0" applyNumberFormat="1" applyFont="1" applyFill="1" applyBorder="1"/>
    <xf numFmtId="0" fontId="8" fillId="0" borderId="15" xfId="0" applyFont="1" applyFill="1" applyBorder="1"/>
    <xf numFmtId="0" fontId="0" fillId="0" borderId="18" xfId="0" applyFill="1" applyBorder="1"/>
    <xf numFmtId="0" fontId="8" fillId="0" borderId="14" xfId="0" applyFont="1" applyFill="1" applyBorder="1" applyAlignment="1">
      <alignment horizontal="right" vertical="center"/>
    </xf>
    <xf numFmtId="166" fontId="8" fillId="0" borderId="18" xfId="0" applyNumberFormat="1" applyFont="1" applyFill="1" applyBorder="1"/>
    <xf numFmtId="0" fontId="8" fillId="4" borderId="18" xfId="0" applyFont="1" applyFill="1" applyBorder="1"/>
    <xf numFmtId="166" fontId="8" fillId="19" borderId="15" xfId="0" applyNumberFormat="1" applyFont="1" applyFill="1" applyBorder="1"/>
    <xf numFmtId="170" fontId="5" fillId="0" borderId="60" xfId="0" applyNumberFormat="1" applyFont="1" applyFill="1" applyBorder="1"/>
    <xf numFmtId="170" fontId="6" fillId="0" borderId="59" xfId="0" applyNumberFormat="1" applyFont="1" applyFill="1" applyBorder="1"/>
    <xf numFmtId="9" fontId="5" fillId="0" borderId="55" xfId="0" applyNumberFormat="1" applyFont="1" applyFill="1" applyBorder="1"/>
    <xf numFmtId="165" fontId="8" fillId="19" borderId="7" xfId="0" applyNumberFormat="1" applyFont="1" applyFill="1" applyBorder="1"/>
    <xf numFmtId="0" fontId="0" fillId="0" borderId="0" xfId="0"/>
    <xf numFmtId="0" fontId="6" fillId="0" borderId="18" xfId="0" applyFont="1" applyFill="1" applyBorder="1" applyAlignment="1">
      <alignment horizontal="center"/>
    </xf>
    <xf numFmtId="173" fontId="6" fillId="0" borderId="18" xfId="0" applyNumberFormat="1" applyFont="1" applyFill="1" applyBorder="1" applyAlignment="1">
      <alignment horizontal="center"/>
    </xf>
    <xf numFmtId="173" fontId="6" fillId="0" borderId="18" xfId="0" applyNumberFormat="1" applyFont="1" applyFill="1" applyBorder="1"/>
    <xf numFmtId="0" fontId="20" fillId="0" borderId="18" xfId="0" applyFont="1" applyFill="1" applyBorder="1" applyAlignment="1">
      <alignment horizontal="left" readingOrder="1"/>
    </xf>
    <xf numFmtId="170" fontId="5" fillId="0" borderId="18" xfId="0" applyNumberFormat="1" applyFont="1" applyFill="1" applyBorder="1" applyAlignment="1">
      <alignment horizontal="center"/>
    </xf>
    <xf numFmtId="3" fontId="5" fillId="0" borderId="18" xfId="0" applyNumberFormat="1" applyFont="1" applyFill="1" applyBorder="1" applyAlignment="1">
      <alignment horizontal="center"/>
    </xf>
    <xf numFmtId="3" fontId="20" fillId="0" borderId="18" xfId="0" applyNumberFormat="1" applyFont="1" applyFill="1" applyBorder="1" applyAlignment="1">
      <alignment readingOrder="1"/>
    </xf>
    <xf numFmtId="9" fontId="6" fillId="0" borderId="18" xfId="0" applyNumberFormat="1" applyFont="1" applyFill="1" applyBorder="1" applyAlignment="1">
      <alignment horizontal="center"/>
    </xf>
    <xf numFmtId="3" fontId="6" fillId="0" borderId="18" xfId="0" applyNumberFormat="1" applyFont="1" applyFill="1" applyBorder="1"/>
    <xf numFmtId="3" fontId="6" fillId="0" borderId="18" xfId="0" applyNumberFormat="1" applyFont="1" applyFill="1" applyBorder="1" applyAlignment="1"/>
    <xf numFmtId="9" fontId="5" fillId="0" borderId="18" xfId="0" applyNumberFormat="1" applyFont="1" applyFill="1" applyBorder="1" applyAlignment="1">
      <alignment horizontal="center"/>
    </xf>
    <xf numFmtId="170" fontId="5" fillId="0" borderId="18" xfId="0" applyNumberFormat="1" applyFont="1" applyFill="1" applyBorder="1"/>
    <xf numFmtId="0" fontId="6" fillId="0" borderId="18" xfId="0" applyFont="1" applyFill="1" applyBorder="1" applyAlignment="1"/>
    <xf numFmtId="170" fontId="5" fillId="0" borderId="18" xfId="0" applyNumberFormat="1" applyFont="1" applyFill="1" applyBorder="1" applyAlignment="1">
      <alignment horizontal="right"/>
    </xf>
    <xf numFmtId="0" fontId="6" fillId="0" borderId="18" xfId="0" applyFont="1" applyFill="1" applyBorder="1"/>
    <xf numFmtId="0" fontId="5" fillId="0" borderId="18" xfId="0" applyFont="1" applyFill="1" applyBorder="1"/>
    <xf numFmtId="173" fontId="5" fillId="0" borderId="53" xfId="0" applyNumberFormat="1" applyFont="1" applyBorder="1"/>
    <xf numFmtId="170" fontId="5" fillId="0" borderId="55" xfId="0" applyNumberFormat="1" applyFont="1" applyBorder="1"/>
    <xf numFmtId="9" fontId="6" fillId="0" borderId="66" xfId="0" applyNumberFormat="1" applyFont="1" applyFill="1" applyBorder="1"/>
    <xf numFmtId="178" fontId="5" fillId="0" borderId="38" xfId="0" applyNumberFormat="1" applyFont="1" applyBorder="1"/>
    <xf numFmtId="3" fontId="5" fillId="9" borderId="40" xfId="0" applyNumberFormat="1" applyFont="1" applyFill="1" applyBorder="1" applyAlignment="1">
      <alignment horizontal="left"/>
    </xf>
    <xf numFmtId="165" fontId="8" fillId="6" borderId="18" xfId="0" applyNumberFormat="1" applyFont="1" applyFill="1" applyBorder="1" applyAlignment="1">
      <alignment horizontal="center"/>
    </xf>
    <xf numFmtId="0" fontId="8" fillId="6" borderId="18" xfId="0" applyFont="1" applyFill="1" applyBorder="1"/>
    <xf numFmtId="166" fontId="8" fillId="6" borderId="18" xfId="0" applyNumberFormat="1" applyFont="1" applyFill="1" applyBorder="1"/>
    <xf numFmtId="167" fontId="8" fillId="6" borderId="18" xfId="0" applyNumberFormat="1" applyFont="1" applyFill="1" applyBorder="1"/>
    <xf numFmtId="0" fontId="8" fillId="6" borderId="49" xfId="0" applyFont="1" applyFill="1" applyBorder="1" applyAlignment="1">
      <alignment horizontal="center"/>
    </xf>
    <xf numFmtId="10" fontId="8" fillId="6" borderId="82" xfId="0" applyNumberFormat="1" applyFont="1" applyFill="1" applyBorder="1"/>
    <xf numFmtId="166" fontId="8" fillId="6" borderId="82" xfId="0" applyNumberFormat="1" applyFont="1" applyFill="1" applyBorder="1"/>
    <xf numFmtId="167" fontId="8" fillId="6" borderId="47" xfId="0" applyNumberFormat="1" applyFont="1" applyFill="1" applyBorder="1"/>
    <xf numFmtId="170" fontId="5" fillId="0" borderId="18" xfId="0" applyNumberFormat="1" applyFont="1" applyBorder="1" applyAlignment="1">
      <alignment horizontal="right"/>
    </xf>
    <xf numFmtId="0" fontId="0" fillId="0" borderId="50" xfId="0" applyBorder="1"/>
    <xf numFmtId="0" fontId="0" fillId="0" borderId="53" xfId="0" applyBorder="1" applyAlignment="1">
      <alignment horizontal="center"/>
    </xf>
    <xf numFmtId="2" fontId="0" fillId="9" borderId="83" xfId="0" applyNumberFormat="1" applyFill="1" applyBorder="1" applyAlignment="1">
      <alignment horizontal="center"/>
    </xf>
    <xf numFmtId="2" fontId="0" fillId="9" borderId="55" xfId="0" applyNumberFormat="1" applyFill="1" applyBorder="1" applyAlignment="1">
      <alignment horizontal="center"/>
    </xf>
    <xf numFmtId="2" fontId="7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right"/>
    </xf>
    <xf numFmtId="2" fontId="0" fillId="0" borderId="0" xfId="0" applyNumberFormat="1"/>
    <xf numFmtId="170" fontId="7" fillId="0" borderId="0" xfId="0" applyNumberFormat="1" applyFont="1" applyAlignment="1">
      <alignment horizontal="left"/>
    </xf>
    <xf numFmtId="170" fontId="7" fillId="0" borderId="0" xfId="0" applyNumberFormat="1" applyFont="1" applyAlignment="1">
      <alignment horizontal="right"/>
    </xf>
    <xf numFmtId="170" fontId="0" fillId="0" borderId="0" xfId="0" applyNumberFormat="1"/>
    <xf numFmtId="0" fontId="7" fillId="0" borderId="18" xfId="0" applyFont="1" applyBorder="1" applyAlignment="1">
      <alignment horizontal="left"/>
    </xf>
    <xf numFmtId="0" fontId="0" fillId="0" borderId="18" xfId="0" applyBorder="1"/>
    <xf numFmtId="0" fontId="0" fillId="0" borderId="0" xfId="0"/>
    <xf numFmtId="164" fontId="6" fillId="0" borderId="36" xfId="0" applyNumberFormat="1" applyFont="1" applyBorder="1"/>
    <xf numFmtId="164" fontId="18" fillId="0" borderId="36" xfId="0" applyNumberFormat="1" applyFont="1" applyBorder="1"/>
    <xf numFmtId="165" fontId="5" fillId="0" borderId="18" xfId="0" applyNumberFormat="1" applyFont="1" applyBorder="1" applyAlignment="1">
      <alignment horizontal="right"/>
    </xf>
    <xf numFmtId="164" fontId="5" fillId="0" borderId="18" xfId="0" applyNumberFormat="1" applyFont="1" applyBorder="1"/>
    <xf numFmtId="164" fontId="0" fillId="0" borderId="18" xfId="0" applyNumberFormat="1" applyBorder="1"/>
    <xf numFmtId="164" fontId="5" fillId="2" borderId="18" xfId="0" applyNumberFormat="1" applyFont="1" applyFill="1" applyBorder="1"/>
    <xf numFmtId="164" fontId="6" fillId="0" borderId="27" xfId="0" applyNumberFormat="1" applyFont="1" applyBorder="1"/>
    <xf numFmtId="164" fontId="0" fillId="0" borderId="0" xfId="0" applyNumberFormat="1"/>
    <xf numFmtId="0" fontId="6" fillId="0" borderId="36" xfId="0" applyFont="1" applyBorder="1"/>
    <xf numFmtId="164" fontId="6" fillId="0" borderId="84" xfId="0" applyNumberFormat="1" applyFont="1" applyBorder="1"/>
    <xf numFmtId="170" fontId="5" fillId="12" borderId="53" xfId="0" applyNumberFormat="1" applyFont="1" applyFill="1" applyBorder="1" applyAlignment="1">
      <alignment horizontal="center"/>
    </xf>
    <xf numFmtId="0" fontId="15" fillId="20" borderId="77" xfId="0" applyFont="1" applyFill="1" applyBorder="1" applyAlignment="1">
      <alignment wrapText="1"/>
    </xf>
    <xf numFmtId="0" fontId="5" fillId="20" borderId="77" xfId="0" applyFont="1" applyFill="1" applyBorder="1" applyAlignment="1">
      <alignment horizontal="center" wrapText="1"/>
    </xf>
    <xf numFmtId="170" fontId="5" fillId="20" borderId="79" xfId="0" applyNumberFormat="1" applyFont="1" applyFill="1" applyBorder="1" applyAlignment="1">
      <alignment horizontal="center"/>
    </xf>
    <xf numFmtId="3" fontId="5" fillId="20" borderId="78" xfId="0" applyNumberFormat="1" applyFont="1" applyFill="1" applyBorder="1"/>
    <xf numFmtId="3" fontId="5" fillId="20" borderId="79" xfId="0" applyNumberFormat="1" applyFont="1" applyFill="1" applyBorder="1"/>
    <xf numFmtId="0" fontId="5" fillId="0" borderId="50" xfId="0" applyFont="1" applyBorder="1" applyAlignment="1">
      <alignment horizontal="right"/>
    </xf>
    <xf numFmtId="0" fontId="5" fillId="16" borderId="39" xfId="0" applyFont="1" applyFill="1" applyBorder="1" applyAlignment="1">
      <alignment horizontal="center" wrapText="1"/>
    </xf>
    <xf numFmtId="0" fontId="5" fillId="16" borderId="38" xfId="0" applyFont="1" applyFill="1" applyBorder="1" applyAlignment="1">
      <alignment horizontal="center" wrapText="1"/>
    </xf>
    <xf numFmtId="0" fontId="5" fillId="16" borderId="40" xfId="0" applyFont="1" applyFill="1" applyBorder="1" applyAlignment="1">
      <alignment horizontal="center" wrapText="1"/>
    </xf>
    <xf numFmtId="0" fontId="5" fillId="16" borderId="55" xfId="0" applyFont="1" applyFill="1" applyBorder="1" applyAlignment="1">
      <alignment horizontal="center" wrapText="1"/>
    </xf>
    <xf numFmtId="0" fontId="5" fillId="0" borderId="53" xfId="0" applyFont="1" applyFill="1" applyBorder="1" applyAlignment="1">
      <alignment horizontal="center"/>
    </xf>
    <xf numFmtId="9" fontId="5" fillId="13" borderId="55" xfId="0" applyNumberFormat="1" applyFont="1" applyFill="1" applyBorder="1" applyAlignment="1">
      <alignment horizontal="right"/>
    </xf>
    <xf numFmtId="9" fontId="5" fillId="13" borderId="63" xfId="0" applyNumberFormat="1" applyFont="1" applyFill="1" applyBorder="1" applyAlignment="1">
      <alignment horizontal="right"/>
    </xf>
    <xf numFmtId="9" fontId="5" fillId="17" borderId="53" xfId="0" applyNumberFormat="1" applyFont="1" applyFill="1" applyBorder="1" applyAlignment="1">
      <alignment horizontal="right"/>
    </xf>
    <xf numFmtId="170" fontId="5" fillId="13" borderId="53" xfId="0" applyNumberFormat="1" applyFont="1" applyFill="1" applyBorder="1" applyAlignment="1">
      <alignment horizontal="right"/>
    </xf>
    <xf numFmtId="9" fontId="5" fillId="17" borderId="63" xfId="0" applyNumberFormat="1" applyFont="1" applyFill="1" applyBorder="1" applyAlignment="1">
      <alignment horizontal="right"/>
    </xf>
    <xf numFmtId="9" fontId="5" fillId="14" borderId="79" xfId="0" applyNumberFormat="1" applyFont="1" applyFill="1" applyBorder="1" applyAlignment="1">
      <alignment horizontal="right"/>
    </xf>
    <xf numFmtId="9" fontId="5" fillId="16" borderId="53" xfId="0" applyNumberFormat="1" applyFont="1" applyFill="1" applyBorder="1" applyAlignment="1">
      <alignment horizontal="center"/>
    </xf>
    <xf numFmtId="9" fontId="5" fillId="16" borderId="55" xfId="0" applyNumberFormat="1" applyFont="1" applyFill="1" applyBorder="1" applyAlignment="1">
      <alignment horizontal="center" wrapText="1"/>
    </xf>
    <xf numFmtId="170" fontId="5" fillId="16" borderId="53" xfId="0" applyNumberFormat="1" applyFont="1" applyFill="1" applyBorder="1" applyAlignment="1">
      <alignment horizontal="center" wrapText="1"/>
    </xf>
    <xf numFmtId="0" fontId="5" fillId="16" borderId="63" xfId="0" applyFont="1" applyFill="1" applyBorder="1" applyAlignment="1">
      <alignment horizontal="center" wrapText="1"/>
    </xf>
    <xf numFmtId="3" fontId="5" fillId="16" borderId="79" xfId="0" applyNumberFormat="1" applyFont="1" applyFill="1" applyBorder="1" applyAlignment="1">
      <alignment horizontal="center"/>
    </xf>
    <xf numFmtId="0" fontId="5" fillId="0" borderId="38" xfId="0" applyFont="1" applyBorder="1" applyAlignment="1">
      <alignment horizontal="right"/>
    </xf>
    <xf numFmtId="0" fontId="5" fillId="15" borderId="38" xfId="0" applyFont="1" applyFill="1" applyBorder="1" applyAlignment="1">
      <alignment horizontal="center"/>
    </xf>
    <xf numFmtId="0" fontId="5" fillId="12" borderId="38" xfId="0" applyFont="1" applyFill="1" applyBorder="1" applyAlignment="1">
      <alignment horizontal="center"/>
    </xf>
    <xf numFmtId="0" fontId="5" fillId="12" borderId="39" xfId="0" applyFont="1" applyFill="1" applyBorder="1" applyAlignment="1">
      <alignment horizontal="center"/>
    </xf>
    <xf numFmtId="170" fontId="5" fillId="12" borderId="39" xfId="0" applyNumberFormat="1" applyFont="1" applyFill="1" applyBorder="1" applyAlignment="1">
      <alignment horizontal="center"/>
    </xf>
    <xf numFmtId="170" fontId="5" fillId="0" borderId="38" xfId="0" applyNumberFormat="1" applyFont="1" applyFill="1" applyBorder="1" applyAlignment="1">
      <alignment horizontal="right"/>
    </xf>
    <xf numFmtId="170" fontId="5" fillId="0" borderId="39" xfId="0" applyNumberFormat="1" applyFont="1" applyFill="1" applyBorder="1" applyAlignment="1">
      <alignment horizontal="right"/>
    </xf>
    <xf numFmtId="9" fontId="5" fillId="0" borderId="40" xfId="0" applyNumberFormat="1" applyFont="1" applyFill="1" applyBorder="1" applyAlignment="1">
      <alignment horizontal="right"/>
    </xf>
    <xf numFmtId="9" fontId="5" fillId="13" borderId="39" xfId="0" applyNumberFormat="1" applyFont="1" applyFill="1" applyBorder="1" applyAlignment="1">
      <alignment horizontal="right"/>
    </xf>
    <xf numFmtId="9" fontId="5" fillId="17" borderId="38" xfId="0" applyNumberFormat="1" applyFont="1" applyFill="1" applyBorder="1" applyAlignment="1">
      <alignment horizontal="right"/>
    </xf>
    <xf numFmtId="9" fontId="5" fillId="0" borderId="39" xfId="0" applyNumberFormat="1" applyFont="1" applyFill="1" applyBorder="1" applyAlignment="1">
      <alignment horizontal="right"/>
    </xf>
    <xf numFmtId="170" fontId="5" fillId="13" borderId="38" xfId="0" applyNumberFormat="1" applyFont="1" applyFill="1" applyBorder="1" applyAlignment="1">
      <alignment horizontal="right"/>
    </xf>
    <xf numFmtId="9" fontId="5" fillId="17" borderId="40" xfId="0" applyNumberFormat="1" applyFont="1" applyFill="1" applyBorder="1" applyAlignment="1">
      <alignment horizontal="right"/>
    </xf>
    <xf numFmtId="9" fontId="5" fillId="14" borderId="39" xfId="0" applyNumberFormat="1" applyFont="1" applyFill="1" applyBorder="1" applyAlignment="1">
      <alignment horizontal="right"/>
    </xf>
    <xf numFmtId="9" fontId="5" fillId="13" borderId="40" xfId="0" applyNumberFormat="1" applyFont="1" applyFill="1" applyBorder="1" applyAlignment="1">
      <alignment horizontal="right"/>
    </xf>
    <xf numFmtId="9" fontId="5" fillId="15" borderId="39" xfId="0" applyNumberFormat="1" applyFont="1" applyFill="1" applyBorder="1" applyAlignment="1">
      <alignment horizontal="right"/>
    </xf>
    <xf numFmtId="3" fontId="6" fillId="14" borderId="38" xfId="0" applyNumberFormat="1" applyFont="1" applyFill="1" applyBorder="1" applyAlignment="1">
      <alignment horizontal="center"/>
    </xf>
    <xf numFmtId="9" fontId="5" fillId="16" borderId="38" xfId="0" applyNumberFormat="1" applyFont="1" applyFill="1" applyBorder="1" applyAlignment="1">
      <alignment horizontal="center"/>
    </xf>
    <xf numFmtId="9" fontId="5" fillId="16" borderId="39" xfId="0" applyNumberFormat="1" applyFont="1" applyFill="1" applyBorder="1" applyAlignment="1">
      <alignment horizontal="center" wrapText="1"/>
    </xf>
    <xf numFmtId="170" fontId="5" fillId="16" borderId="39" xfId="0" applyNumberFormat="1" applyFont="1" applyFill="1" applyBorder="1" applyAlignment="1">
      <alignment horizontal="center" wrapText="1"/>
    </xf>
    <xf numFmtId="173" fontId="5" fillId="16" borderId="39" xfId="0" applyNumberFormat="1" applyFont="1" applyFill="1" applyBorder="1" applyAlignment="1">
      <alignment horizontal="center" wrapText="1"/>
    </xf>
    <xf numFmtId="173" fontId="5" fillId="12" borderId="40" xfId="0" applyNumberFormat="1" applyFont="1" applyFill="1" applyBorder="1" applyAlignment="1">
      <alignment horizontal="center" wrapText="1"/>
    </xf>
    <xf numFmtId="3" fontId="5" fillId="0" borderId="60" xfId="0" applyNumberFormat="1" applyFont="1" applyBorder="1" applyAlignment="1">
      <alignment horizontal="right"/>
    </xf>
    <xf numFmtId="0" fontId="20" fillId="0" borderId="38" xfId="0" applyFont="1" applyBorder="1" applyAlignment="1">
      <alignment readingOrder="1"/>
    </xf>
    <xf numFmtId="0" fontId="6" fillId="0" borderId="39" xfId="0" applyFont="1" applyBorder="1"/>
    <xf numFmtId="173" fontId="6" fillId="9" borderId="66" xfId="0" applyNumberFormat="1" applyFont="1" applyFill="1" applyBorder="1"/>
    <xf numFmtId="3" fontId="5" fillId="16" borderId="60" xfId="0" applyNumberFormat="1" applyFont="1" applyFill="1" applyBorder="1" applyAlignment="1">
      <alignment horizontal="right"/>
    </xf>
    <xf numFmtId="170" fontId="5" fillId="16" borderId="41" xfId="0" applyNumberFormat="1" applyFont="1" applyFill="1" applyBorder="1"/>
    <xf numFmtId="1" fontId="5" fillId="12" borderId="68" xfId="0" applyNumberFormat="1" applyFont="1" applyFill="1" applyBorder="1"/>
    <xf numFmtId="3" fontId="5" fillId="20" borderId="60" xfId="0" applyNumberFormat="1" applyFont="1" applyFill="1" applyBorder="1"/>
    <xf numFmtId="0" fontId="0" fillId="12" borderId="40" xfId="0" applyFill="1" applyBorder="1"/>
    <xf numFmtId="170" fontId="5" fillId="12" borderId="40" xfId="0" applyNumberFormat="1" applyFont="1" applyFill="1" applyBorder="1" applyAlignment="1">
      <alignment horizontal="center"/>
    </xf>
    <xf numFmtId="9" fontId="5" fillId="13" borderId="53" xfId="0" applyNumberFormat="1" applyFont="1" applyFill="1" applyBorder="1" applyAlignment="1">
      <alignment horizontal="right"/>
    </xf>
    <xf numFmtId="170" fontId="5" fillId="13" borderId="41" xfId="0" applyNumberFormat="1" applyFont="1" applyFill="1" applyBorder="1" applyAlignment="1">
      <alignment horizontal="right"/>
    </xf>
    <xf numFmtId="9" fontId="5" fillId="13" borderId="42" xfId="0" applyNumberFormat="1" applyFont="1" applyFill="1" applyBorder="1" applyAlignment="1">
      <alignment horizontal="right"/>
    </xf>
    <xf numFmtId="9" fontId="5" fillId="13" borderId="68" xfId="0" applyNumberFormat="1" applyFont="1" applyFill="1" applyBorder="1" applyAlignment="1">
      <alignment horizontal="right"/>
    </xf>
    <xf numFmtId="0" fontId="0" fillId="0" borderId="41" xfId="0" applyBorder="1"/>
    <xf numFmtId="0" fontId="6" fillId="0" borderId="42" xfId="0" applyFont="1" applyBorder="1" applyAlignment="1">
      <alignment horizontal="center"/>
    </xf>
    <xf numFmtId="0" fontId="6" fillId="0" borderId="68" xfId="0" applyFont="1" applyBorder="1" applyAlignment="1">
      <alignment horizontal="center"/>
    </xf>
    <xf numFmtId="164" fontId="5" fillId="0" borderId="51" xfId="0" applyNumberFormat="1" applyFont="1" applyBorder="1"/>
    <xf numFmtId="164" fontId="5" fillId="0" borderId="27" xfId="0" applyNumberFormat="1" applyFont="1" applyBorder="1"/>
    <xf numFmtId="164" fontId="5" fillId="0" borderId="85" xfId="0" applyNumberFormat="1" applyFont="1" applyBorder="1"/>
    <xf numFmtId="164" fontId="5" fillId="0" borderId="86" xfId="0" applyNumberFormat="1" applyFont="1" applyBorder="1"/>
    <xf numFmtId="164" fontId="5" fillId="0" borderId="87" xfId="0" applyNumberFormat="1" applyFont="1" applyBorder="1"/>
    <xf numFmtId="0" fontId="6" fillId="0" borderId="41" xfId="0" applyFont="1" applyBorder="1" applyAlignment="1">
      <alignment horizontal="center"/>
    </xf>
    <xf numFmtId="164" fontId="5" fillId="0" borderId="50" xfId="0" applyNumberFormat="1" applyFont="1" applyBorder="1"/>
    <xf numFmtId="164" fontId="5" fillId="0" borderId="88" xfId="0" applyNumberFormat="1" applyFont="1" applyBorder="1"/>
    <xf numFmtId="164" fontId="5" fillId="0" borderId="89" xfId="0" applyNumberFormat="1" applyFont="1" applyBorder="1"/>
    <xf numFmtId="164" fontId="5" fillId="0" borderId="36" xfId="0" applyNumberFormat="1" applyFont="1" applyBorder="1"/>
    <xf numFmtId="164" fontId="5" fillId="0" borderId="72" xfId="0" applyNumberFormat="1" applyFont="1" applyBorder="1"/>
    <xf numFmtId="164" fontId="5" fillId="0" borderId="73" xfId="0" applyNumberFormat="1" applyFont="1" applyBorder="1"/>
    <xf numFmtId="0" fontId="14" fillId="2" borderId="18" xfId="0" applyFont="1" applyFill="1" applyBorder="1" applyAlignment="1"/>
    <xf numFmtId="0" fontId="5" fillId="12" borderId="42" xfId="0" applyFont="1" applyFill="1" applyBorder="1" applyAlignment="1">
      <alignment horizontal="center" wrapText="1"/>
    </xf>
    <xf numFmtId="0" fontId="5" fillId="12" borderId="55" xfId="0" applyFont="1" applyFill="1" applyBorder="1" applyAlignment="1">
      <alignment horizontal="center"/>
    </xf>
    <xf numFmtId="3" fontId="5" fillId="15" borderId="51" xfId="0" applyNumberFormat="1" applyFont="1" applyFill="1" applyBorder="1" applyAlignment="1">
      <alignment horizontal="right" wrapText="1"/>
    </xf>
    <xf numFmtId="3" fontId="5" fillId="15" borderId="63" xfId="0" applyNumberFormat="1" applyFont="1" applyFill="1" applyBorder="1" applyAlignment="1">
      <alignment horizontal="right"/>
    </xf>
    <xf numFmtId="3" fontId="5" fillId="15" borderId="38" xfId="0" applyNumberFormat="1" applyFont="1" applyFill="1" applyBorder="1" applyAlignment="1">
      <alignment horizontal="right"/>
    </xf>
    <xf numFmtId="3" fontId="5" fillId="15" borderId="40" xfId="0" applyNumberFormat="1" applyFont="1" applyFill="1" applyBorder="1" applyAlignment="1">
      <alignment horizontal="right"/>
    </xf>
    <xf numFmtId="3" fontId="5" fillId="15" borderId="51" xfId="0" applyNumberFormat="1" applyFont="1" applyFill="1" applyBorder="1"/>
    <xf numFmtId="3" fontId="5" fillId="15" borderId="63" xfId="0" applyNumberFormat="1" applyFont="1" applyFill="1" applyBorder="1"/>
    <xf numFmtId="0" fontId="5" fillId="12" borderId="79" xfId="0" applyFont="1" applyFill="1" applyBorder="1" applyAlignment="1">
      <alignment horizontal="center"/>
    </xf>
    <xf numFmtId="0" fontId="5" fillId="12" borderId="40" xfId="0" applyFont="1" applyFill="1" applyBorder="1" applyAlignment="1">
      <alignment horizontal="center"/>
    </xf>
    <xf numFmtId="0" fontId="6" fillId="21" borderId="40" xfId="0" applyFont="1" applyFill="1" applyBorder="1" applyAlignment="1">
      <alignment horizontal="center"/>
    </xf>
    <xf numFmtId="3" fontId="5" fillId="21" borderId="77" xfId="0" applyNumberFormat="1" applyFont="1" applyFill="1" applyBorder="1" applyAlignment="1">
      <alignment horizontal="center" wrapText="1"/>
    </xf>
    <xf numFmtId="173" fontId="5" fillId="21" borderId="79" xfId="0" applyNumberFormat="1" applyFont="1" applyFill="1" applyBorder="1" applyAlignment="1">
      <alignment horizontal="center"/>
    </xf>
    <xf numFmtId="173" fontId="5" fillId="21" borderId="38" xfId="0" applyNumberFormat="1" applyFont="1" applyFill="1" applyBorder="1" applyAlignment="1">
      <alignment horizontal="center"/>
    </xf>
    <xf numFmtId="9" fontId="5" fillId="14" borderId="53" xfId="0" applyNumberFormat="1" applyFont="1" applyFill="1" applyBorder="1" applyAlignment="1">
      <alignment horizontal="right"/>
    </xf>
    <xf numFmtId="3" fontId="5" fillId="14" borderId="78" xfId="0" applyNumberFormat="1" applyFont="1" applyFill="1" applyBorder="1" applyAlignment="1">
      <alignment horizontal="right" wrapText="1"/>
    </xf>
    <xf numFmtId="3" fontId="5" fillId="14" borderId="50" xfId="0" applyNumberFormat="1" applyFont="1" applyFill="1" applyBorder="1" applyAlignment="1">
      <alignment horizontal="right" wrapText="1"/>
    </xf>
    <xf numFmtId="0" fontId="6" fillId="13" borderId="39" xfId="0" applyFont="1" applyFill="1" applyBorder="1" applyAlignment="1">
      <alignment horizontal="center"/>
    </xf>
    <xf numFmtId="0" fontId="6" fillId="14" borderId="38" xfId="0" applyFont="1" applyFill="1" applyBorder="1" applyAlignment="1">
      <alignment horizontal="left"/>
    </xf>
    <xf numFmtId="0" fontId="5" fillId="14" borderId="39" xfId="0" applyFont="1" applyFill="1" applyBorder="1" applyAlignment="1">
      <alignment horizontal="center"/>
    </xf>
    <xf numFmtId="0" fontId="5" fillId="14" borderId="40" xfId="0" applyFont="1" applyFill="1" applyBorder="1" applyAlignment="1">
      <alignment horizontal="center"/>
    </xf>
    <xf numFmtId="3" fontId="5" fillId="21" borderId="77" xfId="0" applyNumberFormat="1" applyFont="1" applyFill="1" applyBorder="1"/>
    <xf numFmtId="3" fontId="5" fillId="21" borderId="78" xfId="0" applyNumberFormat="1" applyFont="1" applyFill="1" applyBorder="1"/>
    <xf numFmtId="3" fontId="5" fillId="21" borderId="79" xfId="0" applyNumberFormat="1" applyFont="1" applyFill="1" applyBorder="1"/>
    <xf numFmtId="3" fontId="5" fillId="14" borderId="41" xfId="0" applyNumberFormat="1" applyFont="1" applyFill="1" applyBorder="1"/>
    <xf numFmtId="3" fontId="6" fillId="14" borderId="77" xfId="0" applyNumberFormat="1" applyFont="1" applyFill="1" applyBorder="1"/>
    <xf numFmtId="3" fontId="5" fillId="14" borderId="50" xfId="0" applyNumberFormat="1" applyFont="1" applyFill="1" applyBorder="1"/>
    <xf numFmtId="3" fontId="6" fillId="14" borderId="78" xfId="0" applyNumberFormat="1" applyFont="1" applyFill="1" applyBorder="1"/>
    <xf numFmtId="3" fontId="5" fillId="14" borderId="53" xfId="0" applyNumberFormat="1" applyFont="1" applyFill="1" applyBorder="1"/>
    <xf numFmtId="3" fontId="6" fillId="14" borderId="79" xfId="0" applyNumberFormat="1" applyFont="1" applyFill="1" applyBorder="1"/>
    <xf numFmtId="0" fontId="6" fillId="16" borderId="60" xfId="0" applyFont="1" applyFill="1" applyBorder="1" applyAlignment="1"/>
    <xf numFmtId="0" fontId="0" fillId="0" borderId="0" xfId="0"/>
    <xf numFmtId="0" fontId="8" fillId="6" borderId="14" xfId="0" applyFont="1" applyFill="1" applyBorder="1"/>
    <xf numFmtId="171" fontId="8" fillId="6" borderId="18" xfId="0" applyNumberFormat="1" applyFont="1" applyFill="1" applyBorder="1"/>
    <xf numFmtId="171" fontId="8" fillId="6" borderId="15" xfId="0" applyNumberFormat="1" applyFont="1" applyFill="1" applyBorder="1"/>
    <xf numFmtId="0" fontId="8" fillId="6" borderId="29" xfId="0" applyFont="1" applyFill="1" applyBorder="1"/>
    <xf numFmtId="171" fontId="8" fillId="6" borderId="30" xfId="0" applyNumberFormat="1" applyFont="1" applyFill="1" applyBorder="1"/>
    <xf numFmtId="171" fontId="8" fillId="6" borderId="31" xfId="0" applyNumberFormat="1" applyFont="1" applyFill="1" applyBorder="1"/>
    <xf numFmtId="0" fontId="8" fillId="6" borderId="35" xfId="0" applyFont="1" applyFill="1" applyBorder="1"/>
    <xf numFmtId="171" fontId="8" fillId="6" borderId="36" xfId="0" applyNumberFormat="1" applyFont="1" applyFill="1" applyBorder="1"/>
    <xf numFmtId="171" fontId="8" fillId="6" borderId="37" xfId="0" applyNumberFormat="1" applyFont="1" applyFill="1" applyBorder="1"/>
    <xf numFmtId="164" fontId="6" fillId="0" borderId="18" xfId="0" applyNumberFormat="1" applyFont="1" applyBorder="1"/>
    <xf numFmtId="173" fontId="20" fillId="0" borderId="18" xfId="0" applyNumberFormat="1" applyFont="1" applyFill="1" applyBorder="1" applyAlignment="1">
      <alignment horizontal="left" readingOrder="1"/>
    </xf>
    <xf numFmtId="3" fontId="6" fillId="0" borderId="18" xfId="0" applyNumberFormat="1" applyFont="1" applyFill="1" applyBorder="1" applyAlignment="1">
      <alignment horizontal="center"/>
    </xf>
    <xf numFmtId="3" fontId="20" fillId="0" borderId="18" xfId="0" applyNumberFormat="1" applyFont="1" applyFill="1" applyBorder="1" applyAlignment="1">
      <alignment horizontal="left" readingOrder="1"/>
    </xf>
    <xf numFmtId="0" fontId="8" fillId="4" borderId="18" xfId="0" applyFont="1" applyFill="1" applyBorder="1" applyAlignment="1">
      <alignment wrapText="1"/>
    </xf>
    <xf numFmtId="165" fontId="8" fillId="4" borderId="18" xfId="0" applyNumberFormat="1" applyFont="1" applyFill="1" applyBorder="1"/>
    <xf numFmtId="2" fontId="0" fillId="0" borderId="55" xfId="0" applyNumberFormat="1" applyBorder="1"/>
    <xf numFmtId="0" fontId="6" fillId="2" borderId="18" xfId="0" applyFont="1" applyFill="1" applyBorder="1"/>
    <xf numFmtId="3" fontId="15" fillId="0" borderId="18" xfId="0" applyNumberFormat="1" applyFont="1" applyBorder="1"/>
    <xf numFmtId="164" fontId="15" fillId="0" borderId="18" xfId="0" applyNumberFormat="1" applyFont="1" applyBorder="1"/>
    <xf numFmtId="165" fontId="19" fillId="0" borderId="18" xfId="0" applyNumberFormat="1" applyFont="1" applyBorder="1" applyAlignment="1">
      <alignment horizontal="right"/>
    </xf>
    <xf numFmtId="164" fontId="19" fillId="0" borderId="18" xfId="0" applyNumberFormat="1" applyFont="1" applyBorder="1"/>
    <xf numFmtId="164" fontId="19" fillId="2" borderId="18" xfId="0" applyNumberFormat="1" applyFont="1" applyFill="1" applyBorder="1"/>
    <xf numFmtId="165" fontId="26" fillId="0" borderId="18" xfId="0" applyNumberFormat="1" applyFont="1" applyBorder="1" applyAlignment="1">
      <alignment horizontal="right"/>
    </xf>
    <xf numFmtId="164" fontId="26" fillId="0" borderId="18" xfId="0" applyNumberFormat="1" applyFont="1" applyBorder="1"/>
    <xf numFmtId="164" fontId="26" fillId="2" borderId="18" xfId="0" applyNumberFormat="1" applyFont="1" applyFill="1" applyBorder="1"/>
    <xf numFmtId="164" fontId="26" fillId="0" borderId="36" xfId="0" applyNumberFormat="1" applyFont="1" applyBorder="1"/>
    <xf numFmtId="170" fontId="5" fillId="0" borderId="42" xfId="0" applyNumberFormat="1" applyFont="1" applyFill="1" applyBorder="1" applyAlignment="1">
      <alignment horizontal="right"/>
    </xf>
    <xf numFmtId="170" fontId="5" fillId="0" borderId="41" xfId="0" applyNumberFormat="1" applyFont="1" applyFill="1" applyBorder="1" applyAlignment="1">
      <alignment horizontal="right"/>
    </xf>
    <xf numFmtId="9" fontId="5" fillId="0" borderId="68" xfId="0" applyNumberFormat="1" applyFont="1" applyFill="1" applyBorder="1" applyAlignment="1">
      <alignment horizontal="right"/>
    </xf>
    <xf numFmtId="2" fontId="6" fillId="16" borderId="38" xfId="0" applyNumberFormat="1" applyFont="1" applyFill="1" applyBorder="1" applyAlignment="1"/>
    <xf numFmtId="2" fontId="5" fillId="17" borderId="18" xfId="0" applyNumberFormat="1" applyFont="1" applyFill="1" applyBorder="1" applyAlignment="1">
      <alignment horizontal="center" wrapText="1"/>
    </xf>
    <xf numFmtId="2" fontId="5" fillId="17" borderId="55" xfId="0" applyNumberFormat="1" applyFont="1" applyFill="1" applyBorder="1" applyAlignment="1">
      <alignment horizontal="center"/>
    </xf>
    <xf numFmtId="2" fontId="5" fillId="17" borderId="42" xfId="0" applyNumberFormat="1" applyFont="1" applyFill="1" applyBorder="1" applyAlignment="1">
      <alignment horizontal="center"/>
    </xf>
    <xf numFmtId="0" fontId="27" fillId="22" borderId="92" xfId="0" applyFont="1" applyFill="1" applyBorder="1" applyAlignment="1">
      <alignment vertical="top" wrapText="1"/>
    </xf>
    <xf numFmtId="0" fontId="27" fillId="22" borderId="98" xfId="0" applyFont="1" applyFill="1" applyBorder="1" applyAlignment="1">
      <alignment horizontal="center" vertical="top" wrapText="1"/>
    </xf>
    <xf numFmtId="0" fontId="27" fillId="22" borderId="93" xfId="0" applyFont="1" applyFill="1" applyBorder="1" applyAlignment="1">
      <alignment horizontal="center" vertical="top" wrapText="1"/>
    </xf>
    <xf numFmtId="0" fontId="28" fillId="0" borderId="99" xfId="0" applyFont="1" applyBorder="1" applyAlignment="1">
      <alignment vertical="top" wrapText="1"/>
    </xf>
    <xf numFmtId="0" fontId="29" fillId="0" borderId="100" xfId="0" applyFont="1" applyBorder="1" applyAlignment="1">
      <alignment horizontal="center" vertical="top" wrapText="1"/>
    </xf>
    <xf numFmtId="0" fontId="29" fillId="0" borderId="98" xfId="0" applyFont="1" applyBorder="1" applyAlignment="1">
      <alignment horizontal="center" vertical="top" wrapText="1"/>
    </xf>
    <xf numFmtId="0" fontId="29" fillId="0" borderId="95" xfId="0" applyFont="1" applyBorder="1" applyAlignment="1">
      <alignment horizontal="center" vertical="top" wrapText="1"/>
    </xf>
    <xf numFmtId="0" fontId="28" fillId="0" borderId="101" xfId="0" applyFont="1" applyBorder="1" applyAlignment="1">
      <alignment vertical="top" wrapText="1"/>
    </xf>
    <xf numFmtId="6" fontId="29" fillId="0" borderId="18" xfId="0" applyNumberFormat="1" applyFont="1" applyBorder="1" applyAlignment="1">
      <alignment horizontal="center" vertical="top" wrapText="1"/>
    </xf>
    <xf numFmtId="6" fontId="29" fillId="0" borderId="98" xfId="0" applyNumberFormat="1" applyFont="1" applyBorder="1" applyAlignment="1">
      <alignment horizontal="center" vertical="top" wrapText="1"/>
    </xf>
    <xf numFmtId="6" fontId="29" fillId="0" borderId="102" xfId="0" applyNumberFormat="1" applyFont="1" applyBorder="1" applyAlignment="1">
      <alignment horizontal="center" vertical="top" wrapText="1"/>
    </xf>
    <xf numFmtId="0" fontId="28" fillId="0" borderId="106" xfId="0" applyFont="1" applyBorder="1" applyAlignment="1">
      <alignment vertical="top" wrapText="1"/>
    </xf>
    <xf numFmtId="6" fontId="29" fillId="0" borderId="93" xfId="0" applyNumberFormat="1" applyFont="1" applyBorder="1" applyAlignment="1">
      <alignment horizontal="center" vertical="top" wrapText="1"/>
    </xf>
    <xf numFmtId="6" fontId="29" fillId="0" borderId="100" xfId="0" applyNumberFormat="1" applyFont="1" applyBorder="1" applyAlignment="1">
      <alignment horizontal="center" vertical="top" wrapText="1"/>
    </xf>
    <xf numFmtId="6" fontId="29" fillId="0" borderId="95" xfId="0" applyNumberFormat="1" applyFont="1" applyBorder="1" applyAlignment="1">
      <alignment horizontal="center" vertical="top" wrapText="1"/>
    </xf>
    <xf numFmtId="0" fontId="28" fillId="0" borderId="111" xfId="0" applyFont="1" applyBorder="1" applyAlignment="1">
      <alignment horizontal="left" vertical="top" wrapText="1"/>
    </xf>
    <xf numFmtId="170" fontId="28" fillId="0" borderId="90" xfId="0" applyNumberFormat="1" applyFont="1" applyBorder="1" applyAlignment="1">
      <alignment horizontal="center" vertical="top" wrapText="1"/>
    </xf>
    <xf numFmtId="0" fontId="28" fillId="0" borderId="111" xfId="0" applyFont="1" applyBorder="1" applyAlignment="1">
      <alignment horizontal="center" vertical="top" wrapText="1"/>
    </xf>
    <xf numFmtId="0" fontId="28" fillId="0" borderId="99" xfId="0" applyFont="1" applyBorder="1" applyAlignment="1">
      <alignment horizontal="right" vertical="top" wrapText="1"/>
    </xf>
    <xf numFmtId="170" fontId="28" fillId="0" borderId="94" xfId="0" quotePrefix="1" applyNumberFormat="1" applyFont="1" applyBorder="1" applyAlignment="1">
      <alignment horizontal="center" vertical="top" wrapText="1"/>
    </xf>
    <xf numFmtId="0" fontId="28" fillId="0" borderId="99" xfId="0" applyFont="1" applyBorder="1" applyAlignment="1">
      <alignment horizontal="center" vertical="top" wrapText="1"/>
    </xf>
    <xf numFmtId="0" fontId="27" fillId="22" borderId="90" xfId="0" applyFont="1" applyFill="1" applyBorder="1" applyAlignment="1">
      <alignment vertical="top" wrapText="1"/>
    </xf>
    <xf numFmtId="0" fontId="27" fillId="22" borderId="91" xfId="0" applyFont="1" applyFill="1" applyBorder="1" applyAlignment="1">
      <alignment vertical="top" wrapText="1"/>
    </xf>
    <xf numFmtId="0" fontId="30" fillId="0" borderId="0" xfId="0" applyFont="1"/>
    <xf numFmtId="0" fontId="28" fillId="0" borderId="92" xfId="0" applyFont="1" applyBorder="1" applyAlignment="1">
      <alignment vertical="top" wrapText="1"/>
    </xf>
    <xf numFmtId="6" fontId="29" fillId="0" borderId="93" xfId="0" applyNumberFormat="1" applyFont="1" applyBorder="1" applyAlignment="1">
      <alignment horizontal="right" vertical="top" wrapText="1"/>
    </xf>
    <xf numFmtId="0" fontId="28" fillId="0" borderId="94" xfId="0" applyFont="1" applyBorder="1" applyAlignment="1">
      <alignment vertical="top" wrapText="1"/>
    </xf>
    <xf numFmtId="6" fontId="29" fillId="0" borderId="95" xfId="0" applyNumberFormat="1" applyFont="1" applyBorder="1" applyAlignment="1">
      <alignment horizontal="right" vertical="top" wrapText="1"/>
    </xf>
    <xf numFmtId="0" fontId="28" fillId="0" borderId="96" xfId="0" applyFont="1" applyBorder="1" applyAlignment="1">
      <alignment vertical="top" wrapText="1"/>
    </xf>
    <xf numFmtId="6" fontId="29" fillId="0" borderId="97" xfId="0" applyNumberFormat="1" applyFont="1" applyBorder="1" applyAlignment="1">
      <alignment horizontal="right" vertical="top" wrapText="1"/>
    </xf>
    <xf numFmtId="170" fontId="28" fillId="0" borderId="18" xfId="0" quotePrefix="1" applyNumberFormat="1" applyFont="1" applyBorder="1" applyAlignment="1">
      <alignment horizontal="center" vertical="top" wrapText="1"/>
    </xf>
    <xf numFmtId="0" fontId="30" fillId="0" borderId="0" xfId="0" applyFont="1" applyAlignment="1">
      <alignment horizontal="center"/>
    </xf>
    <xf numFmtId="0" fontId="28" fillId="0" borderId="103" xfId="0" applyFont="1" applyBorder="1" applyAlignment="1">
      <alignment vertical="top" wrapText="1"/>
    </xf>
    <xf numFmtId="6" fontId="29" fillId="0" borderId="104" xfId="0" applyNumberFormat="1" applyFont="1" applyBorder="1" applyAlignment="1">
      <alignment horizontal="center" vertical="top" wrapText="1"/>
    </xf>
    <xf numFmtId="6" fontId="29" fillId="0" borderId="105" xfId="0" applyNumberFormat="1" applyFont="1" applyBorder="1" applyAlignment="1">
      <alignment horizontal="center" vertical="top" wrapText="1"/>
    </xf>
    <xf numFmtId="0" fontId="29" fillId="0" borderId="109" xfId="0" applyFont="1" applyBorder="1" applyAlignment="1">
      <alignment horizontal="center" vertical="top" wrapText="1"/>
    </xf>
    <xf numFmtId="0" fontId="28" fillId="0" borderId="107" xfId="0" applyFont="1" applyBorder="1" applyAlignment="1">
      <alignment vertical="top" wrapText="1"/>
    </xf>
    <xf numFmtId="6" fontId="29" fillId="0" borderId="108" xfId="0" applyNumberFormat="1" applyFont="1" applyBorder="1" applyAlignment="1">
      <alignment horizontal="center" vertical="top" wrapText="1"/>
    </xf>
    <xf numFmtId="6" fontId="29" fillId="0" borderId="97" xfId="0" applyNumberFormat="1" applyFont="1" applyBorder="1" applyAlignment="1">
      <alignment horizontal="center" vertical="top" wrapText="1"/>
    </xf>
    <xf numFmtId="6" fontId="29" fillId="0" borderId="110" xfId="0" applyNumberFormat="1" applyFont="1" applyBorder="1" applyAlignment="1">
      <alignment horizontal="center" vertical="top" wrapText="1"/>
    </xf>
    <xf numFmtId="0" fontId="31" fillId="2" borderId="0" xfId="0" applyFont="1" applyFill="1"/>
    <xf numFmtId="0" fontId="32" fillId="2" borderId="0" xfId="0" applyFont="1" applyFill="1"/>
    <xf numFmtId="0" fontId="28" fillId="0" borderId="0" xfId="0" applyFont="1"/>
    <xf numFmtId="0" fontId="32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9" fillId="0" borderId="0" xfId="0" applyFont="1"/>
    <xf numFmtId="164" fontId="31" fillId="0" borderId="0" xfId="0" applyNumberFormat="1" applyFont="1"/>
    <xf numFmtId="164" fontId="32" fillId="0" borderId="1" xfId="0" applyNumberFormat="1" applyFont="1" applyBorder="1"/>
    <xf numFmtId="0" fontId="29" fillId="0" borderId="0" xfId="0" applyFont="1" applyAlignment="1">
      <alignment horizontal="right"/>
    </xf>
    <xf numFmtId="164" fontId="32" fillId="0" borderId="84" xfId="0" applyNumberFormat="1" applyFont="1" applyBorder="1"/>
    <xf numFmtId="164" fontId="31" fillId="0" borderId="36" xfId="0" applyNumberFormat="1" applyFont="1" applyBorder="1"/>
    <xf numFmtId="164" fontId="31" fillId="2" borderId="2" xfId="0" applyNumberFormat="1" applyFont="1" applyFill="1" applyBorder="1"/>
    <xf numFmtId="0" fontId="33" fillId="2" borderId="0" xfId="0" applyFont="1" applyFill="1"/>
    <xf numFmtId="0" fontId="34" fillId="0" borderId="0" xfId="0" applyFont="1"/>
    <xf numFmtId="0" fontId="35" fillId="0" borderId="0" xfId="0" applyFont="1" applyAlignment="1">
      <alignment horizontal="center"/>
    </xf>
    <xf numFmtId="0" fontId="35" fillId="0" borderId="0" xfId="0" applyFont="1"/>
    <xf numFmtId="0" fontId="33" fillId="0" borderId="0" xfId="0" applyFont="1" applyAlignment="1">
      <alignment horizontal="right"/>
    </xf>
    <xf numFmtId="164" fontId="33" fillId="0" borderId="0" xfId="0" applyNumberFormat="1" applyFont="1"/>
    <xf numFmtId="0" fontId="33" fillId="0" borderId="0" xfId="0" applyFont="1"/>
    <xf numFmtId="164" fontId="35" fillId="0" borderId="1" xfId="0" applyNumberFormat="1" applyFont="1" applyBorder="1"/>
    <xf numFmtId="164" fontId="35" fillId="0" borderId="18" xfId="0" applyNumberFormat="1" applyFont="1" applyBorder="1"/>
    <xf numFmtId="164" fontId="33" fillId="0" borderId="1" xfId="0" applyNumberFormat="1" applyFont="1" applyBorder="1"/>
    <xf numFmtId="164" fontId="33" fillId="2" borderId="2" xfId="0" applyNumberFormat="1" applyFont="1" applyFill="1" applyBorder="1"/>
    <xf numFmtId="0" fontId="30" fillId="10" borderId="0" xfId="0" applyFont="1" applyFill="1"/>
    <xf numFmtId="0" fontId="33" fillId="23" borderId="0" xfId="0" applyFont="1" applyFill="1"/>
    <xf numFmtId="0" fontId="36" fillId="2" borderId="0" xfId="0" applyFont="1" applyFill="1"/>
    <xf numFmtId="0" fontId="37" fillId="0" borderId="0" xfId="0" applyFont="1"/>
    <xf numFmtId="0" fontId="38" fillId="0" borderId="0" xfId="0" applyFont="1" applyAlignment="1">
      <alignment horizontal="center"/>
    </xf>
    <xf numFmtId="0" fontId="38" fillId="0" borderId="18" xfId="0" applyFont="1" applyBorder="1"/>
    <xf numFmtId="164" fontId="38" fillId="0" borderId="36" xfId="0" applyNumberFormat="1" applyFont="1" applyBorder="1"/>
    <xf numFmtId="165" fontId="36" fillId="0" borderId="18" xfId="0" applyNumberFormat="1" applyFont="1" applyBorder="1" applyAlignment="1">
      <alignment horizontal="right"/>
    </xf>
    <xf numFmtId="164" fontId="37" fillId="0" borderId="18" xfId="0" applyNumberFormat="1" applyFont="1" applyBorder="1"/>
    <xf numFmtId="165" fontId="39" fillId="0" borderId="18" xfId="0" applyNumberFormat="1" applyFont="1" applyBorder="1" applyAlignment="1">
      <alignment horizontal="right"/>
    </xf>
    <xf numFmtId="164" fontId="39" fillId="0" borderId="18" xfId="0" applyNumberFormat="1" applyFont="1" applyBorder="1"/>
    <xf numFmtId="164" fontId="36" fillId="0" borderId="36" xfId="0" applyNumberFormat="1" applyFont="1" applyBorder="1"/>
    <xf numFmtId="3" fontId="37" fillId="0" borderId="18" xfId="0" applyNumberFormat="1" applyFont="1" applyBorder="1"/>
    <xf numFmtId="164" fontId="39" fillId="0" borderId="36" xfId="0" applyNumberFormat="1" applyFont="1" applyBorder="1"/>
    <xf numFmtId="165" fontId="40" fillId="0" borderId="18" xfId="0" applyNumberFormat="1" applyFont="1" applyBorder="1" applyAlignment="1">
      <alignment horizontal="right"/>
    </xf>
    <xf numFmtId="164" fontId="40" fillId="0" borderId="18" xfId="0" applyNumberFormat="1" applyFont="1" applyBorder="1"/>
    <xf numFmtId="164" fontId="38" fillId="0" borderId="27" xfId="0" applyNumberFormat="1" applyFont="1" applyBorder="1"/>
    <xf numFmtId="164" fontId="36" fillId="0" borderId="0" xfId="0" applyNumberFormat="1" applyFont="1"/>
    <xf numFmtId="0" fontId="38" fillId="0" borderId="0" xfId="0" applyFont="1"/>
    <xf numFmtId="0" fontId="36" fillId="0" borderId="0" xfId="0" applyFont="1" applyAlignment="1">
      <alignment horizontal="right"/>
    </xf>
    <xf numFmtId="164" fontId="38" fillId="0" borderId="1" xfId="0" applyNumberFormat="1" applyFont="1" applyBorder="1"/>
    <xf numFmtId="0" fontId="36" fillId="0" borderId="0" xfId="0" applyFont="1"/>
    <xf numFmtId="164" fontId="36" fillId="0" borderId="1" xfId="0" applyNumberFormat="1" applyFont="1" applyBorder="1"/>
    <xf numFmtId="164" fontId="36" fillId="0" borderId="2" xfId="0" applyNumberFormat="1" applyFont="1" applyBorder="1"/>
    <xf numFmtId="164" fontId="36" fillId="2" borderId="2" xfId="0" applyNumberFormat="1" applyFont="1" applyFill="1" applyBorder="1"/>
    <xf numFmtId="173" fontId="5" fillId="9" borderId="56" xfId="0" applyNumberFormat="1" applyFont="1" applyFill="1" applyBorder="1"/>
    <xf numFmtId="0" fontId="15" fillId="9" borderId="18" xfId="0" applyFont="1" applyFill="1" applyBorder="1"/>
    <xf numFmtId="0" fontId="15" fillId="0" borderId="18" xfId="0" applyFont="1" applyBorder="1" applyAlignment="1">
      <alignment horizontal="right"/>
    </xf>
    <xf numFmtId="0" fontId="8" fillId="24" borderId="82" xfId="0" applyFont="1" applyFill="1" applyBorder="1" applyAlignment="1"/>
    <xf numFmtId="170" fontId="5" fillId="9" borderId="112" xfId="0" applyNumberFormat="1" applyFont="1" applyFill="1" applyBorder="1"/>
    <xf numFmtId="0" fontId="3" fillId="3" borderId="0" xfId="0" applyFont="1" applyFill="1" applyAlignment="1">
      <alignment horizontal="center"/>
    </xf>
    <xf numFmtId="0" fontId="2" fillId="4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10" fillId="0" borderId="4" xfId="0" applyFont="1" applyBorder="1"/>
    <xf numFmtId="0" fontId="10" fillId="0" borderId="5" xfId="0" applyFont="1" applyBorder="1"/>
    <xf numFmtId="0" fontId="8" fillId="6" borderId="16" xfId="0" applyFont="1" applyFill="1" applyBorder="1"/>
    <xf numFmtId="0" fontId="10" fillId="0" borderId="17" xfId="0" applyFont="1" applyBorder="1"/>
    <xf numFmtId="0" fontId="10" fillId="0" borderId="18" xfId="0" applyFont="1" applyBorder="1"/>
    <xf numFmtId="0" fontId="8" fillId="6" borderId="23" xfId="0" applyFont="1" applyFill="1" applyBorder="1"/>
    <xf numFmtId="0" fontId="10" fillId="0" borderId="24" xfId="0" applyFont="1" applyBorder="1"/>
    <xf numFmtId="0" fontId="10" fillId="0" borderId="25" xfId="0" applyFont="1" applyBorder="1"/>
    <xf numFmtId="0" fontId="11" fillId="0" borderId="32" xfId="0" applyFont="1" applyBorder="1" applyAlignment="1">
      <alignment horizontal="center" vertical="center"/>
    </xf>
    <xf numFmtId="0" fontId="0" fillId="0" borderId="18" xfId="0" applyBorder="1"/>
    <xf numFmtId="0" fontId="8" fillId="0" borderId="18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wrapText="1"/>
    </xf>
    <xf numFmtId="0" fontId="11" fillId="0" borderId="29" xfId="0" applyFont="1" applyBorder="1" applyAlignment="1">
      <alignment horizontal="center" vertical="center"/>
    </xf>
    <xf numFmtId="0" fontId="10" fillId="0" borderId="30" xfId="0" applyFont="1" applyBorder="1"/>
    <xf numFmtId="0" fontId="10" fillId="0" borderId="31" xfId="0" applyFont="1" applyBorder="1"/>
    <xf numFmtId="0" fontId="9" fillId="5" borderId="16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0" fillId="0" borderId="1" xfId="0" applyFont="1" applyBorder="1"/>
    <xf numFmtId="0" fontId="10" fillId="0" borderId="20" xfId="0" applyFont="1" applyBorder="1"/>
    <xf numFmtId="0" fontId="11" fillId="0" borderId="14" xfId="0" applyFont="1" applyBorder="1" applyAlignment="1">
      <alignment horizontal="center"/>
    </xf>
    <xf numFmtId="0" fontId="0" fillId="0" borderId="0" xfId="0"/>
    <xf numFmtId="0" fontId="12" fillId="0" borderId="21" xfId="0" applyFont="1" applyBorder="1" applyAlignment="1">
      <alignment horizontal="center" wrapText="1"/>
    </xf>
    <xf numFmtId="0" fontId="10" fillId="0" borderId="12" xfId="0" applyFont="1" applyBorder="1"/>
    <xf numFmtId="0" fontId="10" fillId="0" borderId="22" xfId="0" applyFont="1" applyBorder="1"/>
    <xf numFmtId="0" fontId="9" fillId="5" borderId="3" xfId="0" applyFont="1" applyFill="1" applyBorder="1" applyAlignment="1">
      <alignment horizontal="center" wrapText="1"/>
    </xf>
    <xf numFmtId="0" fontId="8" fillId="6" borderId="16" xfId="0" applyFont="1" applyFill="1" applyBorder="1" applyAlignment="1">
      <alignment horizontal="left"/>
    </xf>
    <xf numFmtId="0" fontId="14" fillId="2" borderId="18" xfId="0" applyFont="1" applyFill="1" applyBorder="1" applyAlignment="1">
      <alignment horizontal="center"/>
    </xf>
  </cellXfs>
  <cellStyles count="3">
    <cellStyle name="Currency" xfId="2" builtinId="4"/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99"/>
      <color rgb="FF729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mshares%20Forecasts%20-%20Combined%20-%20temp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eral Dashboard"/>
      <sheetName val="Start Up Costs"/>
      <sheetName val="Weekly Overheads"/>
      <sheetName val="Community Shares"/>
      <sheetName val="P&amp;L"/>
      <sheetName val="Cash Flow"/>
      <sheetName val="Balance Sheet"/>
      <sheetName val="Mortgage"/>
      <sheetName val="Tax"/>
    </sheetNames>
    <sheetDataSet>
      <sheetData sheetId="0"/>
      <sheetData sheetId="1">
        <row r="4">
          <cell r="D4" t="str">
            <v>Land &amp; Buildings</v>
          </cell>
        </row>
        <row r="5">
          <cell r="D5" t="str">
            <v>Fixtures and Fittings</v>
          </cell>
        </row>
        <row r="6">
          <cell r="D6" t="str">
            <v>Vehicles</v>
          </cell>
        </row>
        <row r="7">
          <cell r="D7" t="str">
            <v>Machinery</v>
          </cell>
        </row>
        <row r="8">
          <cell r="D8" t="str">
            <v>Equipment</v>
          </cell>
        </row>
        <row r="9">
          <cell r="D9" t="str">
            <v>IT</v>
          </cell>
        </row>
        <row r="10">
          <cell r="D10" t="str">
            <v>Property Appreciation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lpamsolicitors.co.uk/fees/property-estate-agency-conveyancing/buying-a-property-fees-calculator/" TargetMode="External"/><Relationship Id="rId2" Type="http://schemas.openxmlformats.org/officeDocument/2006/relationships/hyperlink" Target="https://www.stampdutycalculator.org.uk/stamp-duty-scotland.htm" TargetMode="External"/><Relationship Id="rId1" Type="http://schemas.openxmlformats.org/officeDocument/2006/relationships/hyperlink" Target="https://lha-direct.voa.gov.uk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gov.wales/land-transaction-tax-rates-and-bands" TargetMode="External"/><Relationship Id="rId3" Type="http://schemas.openxmlformats.org/officeDocument/2006/relationships/hyperlink" Target="http://section-8959/" TargetMode="External"/><Relationship Id="rId7" Type="http://schemas.openxmlformats.org/officeDocument/2006/relationships/hyperlink" Target="https://www.elpamsolicitors.co.uk/fees/property-estate-agency-conveyancing/buying-a-property-fees-calculator/" TargetMode="External"/><Relationship Id="rId2" Type="http://schemas.openxmlformats.org/officeDocument/2006/relationships/hyperlink" Target="https://www.gov.scot/policies/taxes/land-and-buildings-transaction-tax/" TargetMode="External"/><Relationship Id="rId1" Type="http://schemas.openxmlformats.org/officeDocument/2006/relationships/hyperlink" Target="https://www.gov.uk/stamp-duty-land-tax/nonresidential-and-mixed-rates" TargetMode="External"/><Relationship Id="rId6" Type="http://schemas.openxmlformats.org/officeDocument/2006/relationships/hyperlink" Target="https://www.elpamsolicitors.co.uk/fees/property-estate-agency-conveyancing/buying-a-property-fees-calculator/" TargetMode="External"/><Relationship Id="rId5" Type="http://schemas.openxmlformats.org/officeDocument/2006/relationships/hyperlink" Target="https://www.gov.uk/stamp-duty-land-tax/residential-property-rates" TargetMode="External"/><Relationship Id="rId10" Type="http://schemas.openxmlformats.org/officeDocument/2006/relationships/printerSettings" Target="../printerSettings/printerSettings10.bin"/><Relationship Id="rId4" Type="http://schemas.openxmlformats.org/officeDocument/2006/relationships/hyperlink" Target="https://www.gov.scot/policies/taxes/land-and-buildings-transaction-tax/" TargetMode="External"/><Relationship Id="rId9" Type="http://schemas.openxmlformats.org/officeDocument/2006/relationships/hyperlink" Target="https://www.elpamsolicitors.co.uk/fees/property-estate-agency-conveyancing/buying-a-property-fees-calculator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B2:I14"/>
  <sheetViews>
    <sheetView topLeftCell="A106" workbookViewId="0">
      <selection activeCell="H19" sqref="H19"/>
    </sheetView>
  </sheetViews>
  <sheetFormatPr defaultColWidth="12.7109375" defaultRowHeight="15.75" customHeight="1"/>
  <cols>
    <col min="1" max="1" width="2.28515625" customWidth="1"/>
    <col min="2" max="2" width="14.140625" customWidth="1"/>
    <col min="3" max="3" width="20.5703125" customWidth="1"/>
    <col min="4" max="4" width="10.42578125" customWidth="1"/>
    <col min="7" max="7" width="7.140625" bestFit="1" customWidth="1"/>
    <col min="8" max="8" width="32.7109375" customWidth="1"/>
    <col min="9" max="9" width="6.28515625" bestFit="1" customWidth="1"/>
  </cols>
  <sheetData>
    <row r="2" spans="2:9" ht="23.25">
      <c r="B2" s="725" t="s">
        <v>0</v>
      </c>
      <c r="C2" s="725"/>
      <c r="D2" s="725"/>
      <c r="E2" s="725"/>
      <c r="F2" s="725"/>
      <c r="G2" s="725"/>
      <c r="H2" s="1"/>
      <c r="I2" s="1"/>
    </row>
    <row r="3" spans="2:9" ht="15.75" customHeight="1">
      <c r="B3" s="722" t="s">
        <v>1</v>
      </c>
      <c r="C3" s="722"/>
      <c r="D3" s="2" t="s">
        <v>186</v>
      </c>
      <c r="E3" s="722" t="s">
        <v>225</v>
      </c>
      <c r="F3" s="722"/>
      <c r="G3" s="3">
        <v>0</v>
      </c>
      <c r="H3" s="1"/>
      <c r="I3" s="1"/>
    </row>
    <row r="4" spans="2:9" ht="15.75" customHeight="1">
      <c r="B4" s="722" t="s">
        <v>2</v>
      </c>
      <c r="C4" s="722"/>
      <c r="D4" s="3">
        <v>2.8000000000000001E-2</v>
      </c>
      <c r="E4" s="722" t="s">
        <v>228</v>
      </c>
      <c r="F4" s="722"/>
      <c r="G4" s="3">
        <v>1</v>
      </c>
      <c r="H4" s="1"/>
      <c r="I4" s="1"/>
    </row>
    <row r="5" spans="2:9" ht="15.75" customHeight="1">
      <c r="B5" s="722" t="s">
        <v>254</v>
      </c>
      <c r="C5" s="722"/>
      <c r="D5" s="3">
        <v>2.5000000000000001E-2</v>
      </c>
      <c r="E5" s="722" t="s">
        <v>329</v>
      </c>
      <c r="F5" s="722"/>
      <c r="G5" s="3">
        <v>0.19</v>
      </c>
      <c r="H5" s="1"/>
      <c r="I5" s="1"/>
    </row>
    <row r="6" spans="2:9" ht="23.25">
      <c r="B6" s="725" t="s">
        <v>3</v>
      </c>
      <c r="C6" s="725"/>
      <c r="D6" s="725"/>
      <c r="E6" s="725"/>
      <c r="F6" s="1"/>
      <c r="G6" s="725" t="s">
        <v>4</v>
      </c>
      <c r="H6" s="725"/>
      <c r="I6" s="725"/>
    </row>
    <row r="7" spans="2:9" ht="15.75" customHeight="1">
      <c r="B7" s="724" t="s">
        <v>5</v>
      </c>
      <c r="C7" s="724"/>
      <c r="D7" s="724" t="s">
        <v>6</v>
      </c>
      <c r="E7" s="724"/>
      <c r="F7" s="1"/>
      <c r="G7" s="722" t="s">
        <v>7</v>
      </c>
      <c r="H7" s="722"/>
      <c r="I7" s="4">
        <v>0</v>
      </c>
    </row>
    <row r="8" spans="2:9" ht="15.75" customHeight="1">
      <c r="B8" s="722" t="s">
        <v>8</v>
      </c>
      <c r="C8" s="722"/>
      <c r="D8" s="723">
        <v>100</v>
      </c>
      <c r="E8" s="723"/>
      <c r="F8" s="1"/>
      <c r="G8" s="722" t="s">
        <v>9</v>
      </c>
      <c r="H8" s="722"/>
      <c r="I8" s="134">
        <v>18</v>
      </c>
    </row>
    <row r="9" spans="2:9" ht="15.75" customHeight="1">
      <c r="B9" s="722" t="s">
        <v>10</v>
      </c>
      <c r="C9" s="722"/>
      <c r="D9" s="723">
        <v>30</v>
      </c>
      <c r="E9" s="723"/>
      <c r="F9" s="1"/>
      <c r="G9" s="722" t="s">
        <v>11</v>
      </c>
      <c r="H9" s="722"/>
      <c r="I9" s="3">
        <v>0.5</v>
      </c>
    </row>
    <row r="10" spans="2:9" ht="15.75" customHeight="1">
      <c r="B10" s="722" t="s">
        <v>12</v>
      </c>
      <c r="C10" s="722"/>
      <c r="D10" s="723">
        <v>5</v>
      </c>
      <c r="E10" s="723"/>
      <c r="F10" s="1"/>
      <c r="G10" s="1"/>
      <c r="H10" s="1"/>
      <c r="I10" s="1"/>
    </row>
    <row r="11" spans="2:9" ht="15.75" customHeight="1">
      <c r="B11" s="722" t="s">
        <v>13</v>
      </c>
      <c r="C11" s="722"/>
      <c r="D11" s="723">
        <v>10</v>
      </c>
      <c r="E11" s="723"/>
      <c r="F11" s="1"/>
      <c r="G11" s="1"/>
      <c r="H11" s="1"/>
      <c r="I11" s="1"/>
    </row>
    <row r="12" spans="2:9" ht="15.75" customHeight="1">
      <c r="B12" s="722" t="s">
        <v>14</v>
      </c>
      <c r="C12" s="722"/>
      <c r="D12" s="723">
        <v>7</v>
      </c>
      <c r="E12" s="723"/>
      <c r="F12" s="1"/>
      <c r="G12" s="1"/>
      <c r="H12" s="1"/>
      <c r="I12" s="1"/>
    </row>
    <row r="13" spans="2:9" ht="15.75" customHeight="1">
      <c r="B13" s="722" t="s">
        <v>15</v>
      </c>
      <c r="C13" s="722"/>
      <c r="D13" s="723">
        <v>3</v>
      </c>
      <c r="E13" s="723"/>
      <c r="F13" s="1"/>
      <c r="G13" s="1"/>
      <c r="H13" s="1"/>
      <c r="I13" s="1"/>
    </row>
    <row r="14" spans="2:9" ht="15.75" customHeight="1">
      <c r="B14" s="1"/>
      <c r="C14" s="1"/>
      <c r="D14" s="1"/>
      <c r="E14" s="1"/>
      <c r="F14" s="1"/>
      <c r="G14" s="1"/>
      <c r="H14" s="1"/>
      <c r="I14" s="1"/>
    </row>
  </sheetData>
  <mergeCells count="27">
    <mergeCell ref="B2:D2"/>
    <mergeCell ref="B3:C3"/>
    <mergeCell ref="B4:C4"/>
    <mergeCell ref="B6:E6"/>
    <mergeCell ref="G6:I6"/>
    <mergeCell ref="E3:F3"/>
    <mergeCell ref="E2:G2"/>
    <mergeCell ref="E4:F4"/>
    <mergeCell ref="B5:C5"/>
    <mergeCell ref="E5:F5"/>
    <mergeCell ref="G7:H7"/>
    <mergeCell ref="B10:C10"/>
    <mergeCell ref="D10:E10"/>
    <mergeCell ref="B11:C11"/>
    <mergeCell ref="D11:E11"/>
    <mergeCell ref="G8:H8"/>
    <mergeCell ref="G9:H9"/>
    <mergeCell ref="B12:C12"/>
    <mergeCell ref="D12:E12"/>
    <mergeCell ref="B13:C13"/>
    <mergeCell ref="D13:E13"/>
    <mergeCell ref="B7:C7"/>
    <mergeCell ref="B8:C8"/>
    <mergeCell ref="D8:E8"/>
    <mergeCell ref="B9:C9"/>
    <mergeCell ref="D9:E9"/>
    <mergeCell ref="D7:E7"/>
  </mergeCells>
  <dataValidations count="1">
    <dataValidation type="list" allowBlank="1" showErrorMessage="1" sqref="D3">
      <formula1>"Yes,No"</formula1>
    </dataValidation>
  </dataValidations>
  <pageMargins left="0.39370078740157483" right="0.39370078740157483" top="0.39370078740157483" bottom="0.3937007874015748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L1000"/>
  <sheetViews>
    <sheetView workbookViewId="0">
      <selection activeCell="G4" sqref="G4"/>
    </sheetView>
  </sheetViews>
  <sheetFormatPr defaultColWidth="12.7109375" defaultRowHeight="15.75" customHeight="1"/>
  <cols>
    <col min="1" max="1" width="2.140625" customWidth="1"/>
    <col min="2" max="2" width="15.140625" customWidth="1"/>
    <col min="3" max="3" width="23.28515625" customWidth="1"/>
    <col min="4" max="4" width="22.140625" customWidth="1"/>
    <col min="5" max="5" width="16.42578125" customWidth="1"/>
    <col min="6" max="6" width="14.42578125" customWidth="1"/>
    <col min="7" max="7" width="12.7109375" customWidth="1"/>
    <col min="8" max="8" width="3.85546875" customWidth="1"/>
    <col min="9" max="9" width="21" customWidth="1"/>
    <col min="10" max="10" width="20.140625" customWidth="1"/>
    <col min="11" max="12" width="10.140625" customWidth="1"/>
    <col min="13" max="27" width="7" customWidth="1"/>
  </cols>
  <sheetData>
    <row r="1" spans="2:12" ht="12.75" customHeight="1">
      <c r="D1" s="22"/>
    </row>
    <row r="2" spans="2:12" ht="17.25" customHeight="1">
      <c r="B2" s="726" t="s">
        <v>122</v>
      </c>
      <c r="C2" s="727"/>
      <c r="D2" s="727"/>
      <c r="E2" s="727"/>
      <c r="F2" s="727"/>
      <c r="G2" s="727"/>
      <c r="H2" s="727"/>
      <c r="I2" s="727"/>
      <c r="J2" s="728"/>
    </row>
    <row r="3" spans="2:12" ht="26.25" customHeight="1">
      <c r="B3" s="23" t="s">
        <v>123</v>
      </c>
      <c r="C3" s="24" t="str">
        <f>'General Dashboard'!D3</f>
        <v>No</v>
      </c>
      <c r="D3" s="25" t="s">
        <v>124</v>
      </c>
      <c r="E3" s="26" t="s">
        <v>125</v>
      </c>
      <c r="F3" s="27" t="s">
        <v>42</v>
      </c>
      <c r="G3" s="27" t="s">
        <v>126</v>
      </c>
      <c r="H3" s="24"/>
      <c r="I3" s="28" t="s">
        <v>127</v>
      </c>
      <c r="J3" s="29"/>
    </row>
    <row r="4" spans="2:12" ht="14.25" customHeight="1">
      <c r="B4" s="23" t="s">
        <v>128</v>
      </c>
      <c r="C4" s="429" t="str">
        <f>'Financial Model'!J11</f>
        <v>England or Northern Ireland</v>
      </c>
      <c r="D4" s="31" t="s">
        <v>8</v>
      </c>
      <c r="E4" s="24">
        <f>'General Dashboard'!D8</f>
        <v>100</v>
      </c>
      <c r="F4" s="32">
        <f t="shared" ref="F4:F9" ca="1" si="0">SUMIF($B$14:$F$34,D4,$F$14:$F$34)/E4</f>
        <v>3000</v>
      </c>
      <c r="G4" s="33">
        <f t="shared" ref="G4:G9" ca="1" si="1">SUMIF($B$14:$F$34,D4,$F$14:$F$34)</f>
        <v>300000</v>
      </c>
      <c r="H4" s="28"/>
      <c r="I4" s="24" t="str">
        <f>B12</f>
        <v>Fixed Assets</v>
      </c>
      <c r="J4" s="34">
        <f>SUM(F14:F34)</f>
        <v>305000</v>
      </c>
    </row>
    <row r="5" spans="2:12" ht="14.25" customHeight="1">
      <c r="B5" s="23" t="s">
        <v>230</v>
      </c>
      <c r="C5" s="609" t="str">
        <f>'Financial Model'!H11</f>
        <v>London</v>
      </c>
      <c r="D5" s="31" t="s">
        <v>10</v>
      </c>
      <c r="E5" s="24">
        <f>'General Dashboard'!D9</f>
        <v>30</v>
      </c>
      <c r="F5" s="32">
        <f t="shared" ca="1" si="0"/>
        <v>166.66666666666666</v>
      </c>
      <c r="G5" s="33">
        <f t="shared" ca="1" si="1"/>
        <v>5000</v>
      </c>
      <c r="H5" s="28"/>
      <c r="I5" s="24"/>
      <c r="J5" s="29"/>
    </row>
    <row r="6" spans="2:12" ht="14.25" customHeight="1">
      <c r="B6" s="23"/>
      <c r="C6" s="24"/>
      <c r="D6" s="31" t="s">
        <v>12</v>
      </c>
      <c r="E6" s="24">
        <f>'General Dashboard'!D10</f>
        <v>5</v>
      </c>
      <c r="F6" s="32">
        <f t="shared" ca="1" si="0"/>
        <v>0</v>
      </c>
      <c r="G6" s="33">
        <f t="shared" ca="1" si="1"/>
        <v>0</v>
      </c>
      <c r="H6" s="24"/>
      <c r="I6" s="24" t="str">
        <f>I12</f>
        <v>Fees And Taxes</v>
      </c>
      <c r="J6" s="34">
        <f>SUM(L16:L34)+L13</f>
        <v>40650</v>
      </c>
    </row>
    <row r="7" spans="2:12" ht="14.25" customHeight="1">
      <c r="B7" s="23" t="s">
        <v>129</v>
      </c>
      <c r="C7" s="35">
        <f>SUM(J4:J9)</f>
        <v>345650</v>
      </c>
      <c r="D7" s="31" t="s">
        <v>13</v>
      </c>
      <c r="E7" s="24">
        <f>'General Dashboard'!D11</f>
        <v>10</v>
      </c>
      <c r="F7" s="32">
        <f t="shared" ca="1" si="0"/>
        <v>0</v>
      </c>
      <c r="G7" s="33">
        <f t="shared" ca="1" si="1"/>
        <v>0</v>
      </c>
      <c r="H7" s="24"/>
      <c r="I7" s="24" t="str">
        <f>B37</f>
        <v>Business Development</v>
      </c>
      <c r="J7" s="36"/>
    </row>
    <row r="8" spans="2:12" ht="14.25" customHeight="1">
      <c r="B8" s="23" t="s">
        <v>130</v>
      </c>
      <c r="C8" s="35">
        <f>L14</f>
        <v>0</v>
      </c>
      <c r="D8" s="31" t="s">
        <v>14</v>
      </c>
      <c r="E8" s="24">
        <f>'General Dashboard'!D12</f>
        <v>7</v>
      </c>
      <c r="F8" s="32">
        <f t="shared" ca="1" si="0"/>
        <v>0</v>
      </c>
      <c r="G8" s="33">
        <f t="shared" ca="1" si="1"/>
        <v>0</v>
      </c>
      <c r="H8" s="24"/>
      <c r="I8" s="24" t="str">
        <f>I37</f>
        <v>Working Capital</v>
      </c>
      <c r="J8" s="37">
        <f>L44</f>
        <v>0</v>
      </c>
    </row>
    <row r="9" spans="2:12" ht="14.25" customHeight="1">
      <c r="B9" s="38" t="s">
        <v>131</v>
      </c>
      <c r="C9" s="39">
        <f>SUM(C7:C8)</f>
        <v>345650</v>
      </c>
      <c r="D9" s="457" t="s">
        <v>15</v>
      </c>
      <c r="E9" s="458">
        <f>'General Dashboard'!D13</f>
        <v>3</v>
      </c>
      <c r="F9" s="459">
        <f t="shared" ca="1" si="0"/>
        <v>0</v>
      </c>
      <c r="G9" s="460">
        <f t="shared" ca="1" si="1"/>
        <v>0</v>
      </c>
      <c r="H9" s="40"/>
      <c r="I9" s="40" t="str">
        <f>I46</f>
        <v>Covering Initial Losses</v>
      </c>
      <c r="J9" s="41">
        <f>K47</f>
        <v>0</v>
      </c>
    </row>
    <row r="10" spans="2:12" ht="12.75" customHeight="1">
      <c r="D10" s="461" t="s">
        <v>254</v>
      </c>
      <c r="E10" s="462">
        <f>'General Dashboard'!D5</f>
        <v>2.5000000000000001E-2</v>
      </c>
      <c r="F10" s="463">
        <f ca="1">G4*E10</f>
        <v>7500</v>
      </c>
      <c r="G10" s="464">
        <f ca="1">G4</f>
        <v>300000</v>
      </c>
    </row>
    <row r="11" spans="2:12" ht="12.75" customHeight="1">
      <c r="D11" s="22"/>
    </row>
    <row r="12" spans="2:12" ht="17.25" customHeight="1">
      <c r="B12" s="726" t="s">
        <v>77</v>
      </c>
      <c r="C12" s="727"/>
      <c r="D12" s="727"/>
      <c r="E12" s="727"/>
      <c r="F12" s="728"/>
      <c r="I12" s="726" t="s">
        <v>132</v>
      </c>
      <c r="J12" s="727"/>
      <c r="K12" s="727"/>
      <c r="L12" s="728"/>
    </row>
    <row r="13" spans="2:12" ht="12.75" customHeight="1">
      <c r="B13" s="42" t="s">
        <v>133</v>
      </c>
      <c r="C13" s="43" t="s">
        <v>134</v>
      </c>
      <c r="D13" s="44" t="s">
        <v>135</v>
      </c>
      <c r="E13" s="43" t="s">
        <v>136</v>
      </c>
      <c r="F13" s="45" t="s">
        <v>126</v>
      </c>
      <c r="I13" s="46" t="s">
        <v>137</v>
      </c>
      <c r="L13" s="47">
        <f>IF(C14="Residential",IF(C4="England or Northern Ireland",'Land Transaction Tax Rates'!E56,IF(C4="Scotland",'Land Transaction Tax Rates'!J56,IF(C4="Wales",'Land Transaction Tax Rates'!O56,0))),IF(C4="England or Northern Ireland",'Land Transaction Tax Rates'!E11,IF(C4="Scotland",'Land Transaction Tax Rates'!J11,IF(C4="Wales",'Land Transaction Tax Rates'!O13,0))))</f>
        <v>20000</v>
      </c>
    </row>
    <row r="14" spans="2:12" ht="12.75" customHeight="1">
      <c r="B14" s="140" t="str">
        <f>D4</f>
        <v>Land &amp; Buildings</v>
      </c>
      <c r="C14" s="30" t="s">
        <v>160</v>
      </c>
      <c r="D14" s="610">
        <f>'Financial Model'!D2</f>
        <v>300000</v>
      </c>
      <c r="E14" s="30">
        <v>1</v>
      </c>
      <c r="F14" s="34">
        <f t="shared" ref="F14:F34" si="2">E14*D14</f>
        <v>300000</v>
      </c>
      <c r="I14" s="46" t="s">
        <v>139</v>
      </c>
      <c r="L14" s="49">
        <f>IF(C3="Yes",SUM(F15:F34)*0.2+IF(C14="Commercial",F14*0.2,0)+SUMIF(K16:L34,"Plus VAT",L16:L34)+L39*0.2,0)</f>
        <v>0</v>
      </c>
    </row>
    <row r="15" spans="2:12" ht="14.25" customHeight="1">
      <c r="B15" s="23" t="s">
        <v>10</v>
      </c>
      <c r="C15" s="30" t="s">
        <v>218</v>
      </c>
      <c r="D15" s="48">
        <f>'Financial Model'!D4</f>
        <v>5000</v>
      </c>
      <c r="E15" s="30">
        <v>1</v>
      </c>
      <c r="F15" s="34">
        <f t="shared" si="2"/>
        <v>5000</v>
      </c>
      <c r="I15" s="50" t="s">
        <v>134</v>
      </c>
      <c r="J15" s="51" t="s">
        <v>140</v>
      </c>
      <c r="K15" s="51" t="s">
        <v>139</v>
      </c>
      <c r="L15" s="52" t="s">
        <v>135</v>
      </c>
    </row>
    <row r="16" spans="2:12" ht="14.25" customHeight="1">
      <c r="B16" s="23"/>
      <c r="C16" s="53"/>
      <c r="D16" s="48"/>
      <c r="E16" s="30"/>
      <c r="F16" s="34">
        <f t="shared" si="2"/>
        <v>0</v>
      </c>
      <c r="I16" s="54" t="s">
        <v>219</v>
      </c>
      <c r="J16" s="30" t="s">
        <v>220</v>
      </c>
      <c r="K16" s="30" t="s">
        <v>221</v>
      </c>
      <c r="L16" s="418">
        <f>'Land Transaction Tax Rates'!J62</f>
        <v>3000</v>
      </c>
    </row>
    <row r="17" spans="2:12" ht="14.25" customHeight="1">
      <c r="B17" s="23"/>
      <c r="C17" s="53"/>
      <c r="D17" s="48"/>
      <c r="E17" s="30"/>
      <c r="F17" s="34">
        <f t="shared" si="2"/>
        <v>0</v>
      </c>
      <c r="I17" s="54" t="s">
        <v>223</v>
      </c>
      <c r="J17" s="30" t="s">
        <v>224</v>
      </c>
      <c r="K17" s="30" t="s">
        <v>221</v>
      </c>
      <c r="L17" s="418">
        <f>'Financial Model'!D6</f>
        <v>16400</v>
      </c>
    </row>
    <row r="18" spans="2:12" ht="14.25" customHeight="1">
      <c r="B18" s="23"/>
      <c r="C18" s="53"/>
      <c r="D18" s="48"/>
      <c r="E18" s="30"/>
      <c r="F18" s="34">
        <f t="shared" si="2"/>
        <v>0</v>
      </c>
      <c r="I18" s="54" t="s">
        <v>326</v>
      </c>
      <c r="J18" s="429" t="s">
        <v>327</v>
      </c>
      <c r="K18" s="429" t="s">
        <v>221</v>
      </c>
      <c r="L18" s="430">
        <f>'Financial Model'!S13</f>
        <v>1250</v>
      </c>
    </row>
    <row r="19" spans="2:12" ht="14.25" customHeight="1">
      <c r="B19" s="23"/>
      <c r="C19" s="53"/>
      <c r="D19" s="48"/>
      <c r="E19" s="30"/>
      <c r="F19" s="34">
        <f t="shared" si="2"/>
        <v>0</v>
      </c>
      <c r="I19" s="54"/>
      <c r="J19" s="30"/>
      <c r="K19" s="30"/>
      <c r="L19" s="55"/>
    </row>
    <row r="20" spans="2:12" ht="14.25" customHeight="1">
      <c r="B20" s="23"/>
      <c r="C20" s="53"/>
      <c r="D20" s="48"/>
      <c r="E20" s="30"/>
      <c r="F20" s="34">
        <f t="shared" si="2"/>
        <v>0</v>
      </c>
      <c r="I20" s="54"/>
      <c r="J20" s="30"/>
      <c r="K20" s="30"/>
      <c r="L20" s="55"/>
    </row>
    <row r="21" spans="2:12" ht="14.25" customHeight="1">
      <c r="B21" s="23"/>
      <c r="C21" s="53"/>
      <c r="D21" s="48"/>
      <c r="E21" s="30"/>
      <c r="F21" s="34">
        <f t="shared" si="2"/>
        <v>0</v>
      </c>
      <c r="I21" s="54"/>
      <c r="J21" s="30"/>
      <c r="K21" s="30"/>
      <c r="L21" s="55"/>
    </row>
    <row r="22" spans="2:12" ht="14.25" customHeight="1">
      <c r="B22" s="23"/>
      <c r="C22" s="53"/>
      <c r="D22" s="48"/>
      <c r="E22" s="30"/>
      <c r="F22" s="34">
        <f t="shared" si="2"/>
        <v>0</v>
      </c>
      <c r="I22" s="54"/>
      <c r="J22" s="30"/>
      <c r="K22" s="30"/>
      <c r="L22" s="55"/>
    </row>
    <row r="23" spans="2:12" ht="14.25" customHeight="1">
      <c r="B23" s="23"/>
      <c r="C23" s="53"/>
      <c r="D23" s="48"/>
      <c r="E23" s="30"/>
      <c r="F23" s="34">
        <f t="shared" si="2"/>
        <v>0</v>
      </c>
      <c r="I23" s="54"/>
      <c r="J23" s="30"/>
      <c r="K23" s="30"/>
      <c r="L23" s="55"/>
    </row>
    <row r="24" spans="2:12" ht="14.25" customHeight="1">
      <c r="B24" s="23"/>
      <c r="C24" s="53"/>
      <c r="D24" s="48"/>
      <c r="E24" s="30"/>
      <c r="F24" s="34">
        <f t="shared" si="2"/>
        <v>0</v>
      </c>
      <c r="I24" s="54"/>
      <c r="J24" s="30"/>
      <c r="K24" s="30"/>
      <c r="L24" s="55"/>
    </row>
    <row r="25" spans="2:12" ht="14.25" customHeight="1">
      <c r="B25" s="23"/>
      <c r="C25" s="53"/>
      <c r="D25" s="48"/>
      <c r="E25" s="30"/>
      <c r="F25" s="34">
        <f t="shared" si="2"/>
        <v>0</v>
      </c>
      <c r="I25" s="54"/>
      <c r="J25" s="30"/>
      <c r="K25" s="30"/>
      <c r="L25" s="55"/>
    </row>
    <row r="26" spans="2:12" ht="14.25" customHeight="1">
      <c r="B26" s="23"/>
      <c r="C26" s="53"/>
      <c r="D26" s="48"/>
      <c r="E26" s="30"/>
      <c r="F26" s="34">
        <f t="shared" si="2"/>
        <v>0</v>
      </c>
      <c r="I26" s="54"/>
      <c r="J26" s="30"/>
      <c r="K26" s="30"/>
      <c r="L26" s="55"/>
    </row>
    <row r="27" spans="2:12" ht="14.25" customHeight="1">
      <c r="B27" s="23"/>
      <c r="C27" s="53"/>
      <c r="D27" s="48"/>
      <c r="E27" s="30"/>
      <c r="F27" s="34">
        <f t="shared" si="2"/>
        <v>0</v>
      </c>
      <c r="I27" s="54"/>
      <c r="J27" s="30"/>
      <c r="K27" s="30"/>
      <c r="L27" s="55"/>
    </row>
    <row r="28" spans="2:12" ht="14.25" customHeight="1">
      <c r="B28" s="23"/>
      <c r="C28" s="53"/>
      <c r="D28" s="48"/>
      <c r="E28" s="30"/>
      <c r="F28" s="34">
        <f t="shared" si="2"/>
        <v>0</v>
      </c>
      <c r="I28" s="54"/>
      <c r="J28" s="30"/>
      <c r="K28" s="30"/>
      <c r="L28" s="55"/>
    </row>
    <row r="29" spans="2:12" ht="14.25" customHeight="1">
      <c r="B29" s="23"/>
      <c r="C29" s="53"/>
      <c r="D29" s="48"/>
      <c r="E29" s="30"/>
      <c r="F29" s="34">
        <f t="shared" si="2"/>
        <v>0</v>
      </c>
      <c r="I29" s="54"/>
      <c r="J29" s="30"/>
      <c r="K29" s="30"/>
      <c r="L29" s="55"/>
    </row>
    <row r="30" spans="2:12" ht="14.25" customHeight="1">
      <c r="B30" s="23"/>
      <c r="C30" s="53"/>
      <c r="D30" s="48"/>
      <c r="E30" s="30"/>
      <c r="F30" s="34">
        <f t="shared" si="2"/>
        <v>0</v>
      </c>
      <c r="I30" s="54"/>
      <c r="J30" s="30"/>
      <c r="K30" s="30"/>
      <c r="L30" s="55"/>
    </row>
    <row r="31" spans="2:12" ht="14.25" customHeight="1">
      <c r="B31" s="23"/>
      <c r="C31" s="53"/>
      <c r="D31" s="48"/>
      <c r="E31" s="30"/>
      <c r="F31" s="34">
        <f t="shared" si="2"/>
        <v>0</v>
      </c>
      <c r="I31" s="54"/>
      <c r="J31" s="30"/>
      <c r="K31" s="30"/>
      <c r="L31" s="55"/>
    </row>
    <row r="32" spans="2:12" ht="14.25" customHeight="1">
      <c r="B32" s="23"/>
      <c r="C32" s="53"/>
      <c r="D32" s="48"/>
      <c r="E32" s="30"/>
      <c r="F32" s="34">
        <f t="shared" si="2"/>
        <v>0</v>
      </c>
      <c r="I32" s="54"/>
      <c r="J32" s="30"/>
      <c r="K32" s="30"/>
      <c r="L32" s="55"/>
    </row>
    <row r="33" spans="2:12" ht="14.25" customHeight="1">
      <c r="B33" s="23"/>
      <c r="C33" s="53"/>
      <c r="D33" s="48"/>
      <c r="E33" s="30"/>
      <c r="F33" s="34">
        <f t="shared" si="2"/>
        <v>0</v>
      </c>
      <c r="I33" s="54"/>
      <c r="J33" s="30"/>
      <c r="K33" s="30"/>
      <c r="L33" s="55"/>
    </row>
    <row r="34" spans="2:12" ht="14.25" customHeight="1">
      <c r="B34" s="38"/>
      <c r="C34" s="56"/>
      <c r="D34" s="57"/>
      <c r="E34" s="58"/>
      <c r="F34" s="34">
        <f t="shared" si="2"/>
        <v>0</v>
      </c>
      <c r="I34" s="59"/>
      <c r="J34" s="58"/>
      <c r="K34" s="58"/>
      <c r="L34" s="60"/>
    </row>
    <row r="35" spans="2:12" ht="12.75" customHeight="1">
      <c r="D35" s="22"/>
      <c r="L35" s="16"/>
    </row>
    <row r="36" spans="2:12" ht="12.75" customHeight="1">
      <c r="D36" s="22"/>
    </row>
    <row r="37" spans="2:12" ht="17.25" customHeight="1">
      <c r="B37" s="726" t="s">
        <v>36</v>
      </c>
      <c r="C37" s="727"/>
      <c r="D37" s="727"/>
      <c r="E37" s="727"/>
      <c r="F37" s="728"/>
      <c r="I37" s="726" t="s">
        <v>141</v>
      </c>
      <c r="J37" s="727"/>
      <c r="K37" s="727"/>
      <c r="L37" s="728"/>
    </row>
    <row r="38" spans="2:12" ht="12.75" customHeight="1">
      <c r="B38" s="23" t="s">
        <v>142</v>
      </c>
      <c r="C38" s="24" t="s">
        <v>134</v>
      </c>
      <c r="D38" s="61" t="s">
        <v>136</v>
      </c>
      <c r="E38" s="24" t="s">
        <v>135</v>
      </c>
      <c r="F38" s="29" t="s">
        <v>126</v>
      </c>
      <c r="I38" s="23"/>
      <c r="J38" s="62" t="s">
        <v>140</v>
      </c>
      <c r="K38" s="24"/>
      <c r="L38" s="29" t="s">
        <v>135</v>
      </c>
    </row>
    <row r="39" spans="2:12" ht="12.75" customHeight="1">
      <c r="B39" s="54" t="s">
        <v>143</v>
      </c>
      <c r="C39" s="30" t="s">
        <v>144</v>
      </c>
      <c r="D39" s="30">
        <v>1</v>
      </c>
      <c r="E39" s="63">
        <v>0</v>
      </c>
      <c r="F39" s="36">
        <f>D39*E39</f>
        <v>0</v>
      </c>
      <c r="I39" s="23" t="s">
        <v>81</v>
      </c>
      <c r="J39" s="24" t="s">
        <v>145</v>
      </c>
      <c r="K39" s="24"/>
      <c r="L39" s="37">
        <v>0</v>
      </c>
    </row>
    <row r="40" spans="2:12" ht="35.25" customHeight="1">
      <c r="B40" s="54"/>
      <c r="C40" s="30"/>
      <c r="D40" s="30"/>
      <c r="E40" s="63"/>
      <c r="F40" s="36">
        <f t="shared" ref="F40:F51" si="3">K78*J78</f>
        <v>0</v>
      </c>
      <c r="I40" s="23" t="s">
        <v>146</v>
      </c>
      <c r="J40" s="64" t="s">
        <v>147</v>
      </c>
      <c r="K40" s="64" t="s">
        <v>148</v>
      </c>
      <c r="L40" s="29"/>
    </row>
    <row r="41" spans="2:12" ht="12.75" customHeight="1">
      <c r="B41" s="54"/>
      <c r="C41" s="30"/>
      <c r="D41" s="30"/>
      <c r="E41" s="63"/>
      <c r="F41" s="36">
        <f t="shared" si="3"/>
        <v>0</v>
      </c>
      <c r="I41" s="23"/>
      <c r="J41" s="24">
        <f>'General Dashboard'!I7</f>
        <v>0</v>
      </c>
      <c r="K41" s="48">
        <v>0</v>
      </c>
      <c r="L41" s="37">
        <f>J41/30*K41</f>
        <v>0</v>
      </c>
    </row>
    <row r="42" spans="2:12" ht="24" customHeight="1">
      <c r="B42" s="54"/>
      <c r="C42" s="30"/>
      <c r="D42" s="30"/>
      <c r="E42" s="63"/>
      <c r="F42" s="36">
        <f t="shared" si="3"/>
        <v>0</v>
      </c>
      <c r="I42" s="23" t="s">
        <v>149</v>
      </c>
      <c r="J42" s="64" t="s">
        <v>147</v>
      </c>
      <c r="K42" s="64" t="s">
        <v>150</v>
      </c>
      <c r="L42" s="29"/>
    </row>
    <row r="43" spans="2:12" ht="12.75" customHeight="1">
      <c r="B43" s="54"/>
      <c r="C43" s="30"/>
      <c r="D43" s="30"/>
      <c r="E43" s="63"/>
      <c r="F43" s="36">
        <f t="shared" si="3"/>
        <v>0</v>
      </c>
      <c r="I43" s="23"/>
      <c r="J43" s="24">
        <f>'General Dashboard'!I8</f>
        <v>18</v>
      </c>
      <c r="K43" s="48"/>
      <c r="L43" s="37">
        <f>J43/30*K43</f>
        <v>0</v>
      </c>
    </row>
    <row r="44" spans="2:12" ht="12.75" customHeight="1">
      <c r="B44" s="54"/>
      <c r="C44" s="30"/>
      <c r="D44" s="30"/>
      <c r="E44" s="63"/>
      <c r="F44" s="36">
        <f t="shared" si="3"/>
        <v>0</v>
      </c>
      <c r="I44" s="38" t="s">
        <v>151</v>
      </c>
      <c r="J44" s="40"/>
      <c r="K44" s="40"/>
      <c r="L44" s="65">
        <f>(L39+L41-L43)*1.05</f>
        <v>0</v>
      </c>
    </row>
    <row r="45" spans="2:12" ht="12.75" customHeight="1">
      <c r="B45" s="54"/>
      <c r="C45" s="30"/>
      <c r="D45" s="30"/>
      <c r="E45" s="63"/>
      <c r="F45" s="36">
        <f t="shared" si="3"/>
        <v>0</v>
      </c>
    </row>
    <row r="46" spans="2:12" ht="17.25" customHeight="1">
      <c r="B46" s="54"/>
      <c r="C46" s="30"/>
      <c r="D46" s="30"/>
      <c r="E46" s="63"/>
      <c r="F46" s="36">
        <f t="shared" si="3"/>
        <v>0</v>
      </c>
      <c r="I46" s="726" t="s">
        <v>152</v>
      </c>
      <c r="J46" s="727"/>
      <c r="K46" s="728"/>
    </row>
    <row r="47" spans="2:12" ht="12.75" customHeight="1">
      <c r="B47" s="54"/>
      <c r="C47" s="30"/>
      <c r="D47" s="30"/>
      <c r="E47" s="63"/>
      <c r="F47" s="36">
        <f t="shared" si="3"/>
        <v>0</v>
      </c>
      <c r="I47" s="23" t="s">
        <v>153</v>
      </c>
      <c r="J47" s="24"/>
      <c r="K47" s="66">
        <v>0</v>
      </c>
    </row>
    <row r="48" spans="2:12" ht="12.75" customHeight="1">
      <c r="B48" s="54"/>
      <c r="C48" s="30"/>
      <c r="D48" s="30"/>
      <c r="E48" s="63"/>
      <c r="F48" s="36">
        <f t="shared" si="3"/>
        <v>0</v>
      </c>
      <c r="I48" s="38" t="s">
        <v>154</v>
      </c>
      <c r="J48" s="40"/>
      <c r="K48" s="67"/>
    </row>
    <row r="49" spans="2:6" ht="12.75" customHeight="1">
      <c r="B49" s="54"/>
      <c r="C49" s="30"/>
      <c r="D49" s="30"/>
      <c r="E49" s="63"/>
      <c r="F49" s="36">
        <f t="shared" si="3"/>
        <v>0</v>
      </c>
    </row>
    <row r="50" spans="2:6" ht="12.75" customHeight="1">
      <c r="B50" s="54"/>
      <c r="C50" s="30"/>
      <c r="D50" s="30"/>
      <c r="E50" s="63"/>
      <c r="F50" s="36">
        <f t="shared" si="3"/>
        <v>0</v>
      </c>
    </row>
    <row r="51" spans="2:6" ht="12.75" customHeight="1">
      <c r="B51" s="59"/>
      <c r="C51" s="58"/>
      <c r="D51" s="58"/>
      <c r="E51" s="68"/>
      <c r="F51" s="69">
        <f t="shared" si="3"/>
        <v>0</v>
      </c>
    </row>
    <row r="52" spans="2:6" ht="12.75" customHeight="1">
      <c r="D52" s="22"/>
    </row>
    <row r="53" spans="2:6" ht="12.75" customHeight="1">
      <c r="D53" s="22"/>
    </row>
    <row r="54" spans="2:6" ht="12.75" customHeight="1">
      <c r="D54" s="22"/>
    </row>
    <row r="55" spans="2:6" ht="12.75" customHeight="1">
      <c r="D55" s="22"/>
    </row>
    <row r="56" spans="2:6" ht="12.75" customHeight="1">
      <c r="D56" s="22"/>
    </row>
    <row r="57" spans="2:6" ht="12.75" customHeight="1">
      <c r="D57" s="22"/>
    </row>
    <row r="58" spans="2:6" ht="12.75" customHeight="1">
      <c r="D58" s="22"/>
    </row>
    <row r="59" spans="2:6" ht="12.75" customHeight="1">
      <c r="D59" s="22"/>
    </row>
    <row r="60" spans="2:6" ht="12.75" customHeight="1">
      <c r="D60" s="22"/>
    </row>
    <row r="61" spans="2:6" ht="12.75" customHeight="1">
      <c r="D61" s="22"/>
    </row>
    <row r="62" spans="2:6" ht="12.75" customHeight="1">
      <c r="D62" s="22"/>
    </row>
    <row r="63" spans="2:6" ht="12.75" customHeight="1">
      <c r="D63" s="22"/>
    </row>
    <row r="64" spans="2:6" ht="12.75" customHeight="1">
      <c r="D64" s="22"/>
    </row>
    <row r="65" spans="4:4" ht="12.75" customHeight="1">
      <c r="D65" s="22"/>
    </row>
    <row r="66" spans="4:4" ht="12.75" customHeight="1">
      <c r="D66" s="22"/>
    </row>
    <row r="67" spans="4:4" ht="12.75" customHeight="1">
      <c r="D67" s="22"/>
    </row>
    <row r="68" spans="4:4" ht="12.75" customHeight="1">
      <c r="D68" s="22"/>
    </row>
    <row r="69" spans="4:4" ht="12.75" customHeight="1">
      <c r="D69" s="22"/>
    </row>
    <row r="70" spans="4:4" ht="12.75" customHeight="1">
      <c r="D70" s="22"/>
    </row>
    <row r="71" spans="4:4" ht="12.75" customHeight="1">
      <c r="D71" s="22"/>
    </row>
    <row r="72" spans="4:4" ht="12.75" customHeight="1">
      <c r="D72" s="22"/>
    </row>
    <row r="73" spans="4:4" ht="12.75" customHeight="1">
      <c r="D73" s="22"/>
    </row>
    <row r="74" spans="4:4" ht="12.75" customHeight="1">
      <c r="D74" s="22"/>
    </row>
    <row r="75" spans="4:4" ht="12.75" customHeight="1">
      <c r="D75" s="22"/>
    </row>
    <row r="76" spans="4:4" ht="12.75" customHeight="1">
      <c r="D76" s="22"/>
    </row>
    <row r="77" spans="4:4" ht="12.75" customHeight="1">
      <c r="D77" s="22"/>
    </row>
    <row r="78" spans="4:4" ht="12.75" customHeight="1">
      <c r="D78" s="22"/>
    </row>
    <row r="79" spans="4:4" ht="12.75" customHeight="1">
      <c r="D79" s="22"/>
    </row>
    <row r="80" spans="4:4" ht="12.75" customHeight="1">
      <c r="D80" s="22"/>
    </row>
    <row r="81" spans="4:4" ht="12.75" customHeight="1">
      <c r="D81" s="22"/>
    </row>
    <row r="82" spans="4:4" ht="12.75" customHeight="1">
      <c r="D82" s="22"/>
    </row>
    <row r="83" spans="4:4" ht="12.75" customHeight="1">
      <c r="D83" s="22"/>
    </row>
    <row r="84" spans="4:4" ht="12.75" customHeight="1">
      <c r="D84" s="22"/>
    </row>
    <row r="85" spans="4:4" ht="12.75" customHeight="1">
      <c r="D85" s="22"/>
    </row>
    <row r="86" spans="4:4" ht="12.75" customHeight="1">
      <c r="D86" s="22"/>
    </row>
    <row r="87" spans="4:4" ht="12.75" customHeight="1">
      <c r="D87" s="22"/>
    </row>
    <row r="88" spans="4:4" ht="12.75" customHeight="1">
      <c r="D88" s="22"/>
    </row>
    <row r="89" spans="4:4" ht="12.75" customHeight="1">
      <c r="D89" s="22"/>
    </row>
    <row r="90" spans="4:4" ht="12.75" customHeight="1">
      <c r="D90" s="22"/>
    </row>
    <row r="91" spans="4:4" ht="12.75" customHeight="1">
      <c r="D91" s="22"/>
    </row>
    <row r="92" spans="4:4" ht="12.75" customHeight="1">
      <c r="D92" s="22"/>
    </row>
    <row r="93" spans="4:4" ht="12.75" customHeight="1">
      <c r="D93" s="22"/>
    </row>
    <row r="94" spans="4:4" ht="12.75" customHeight="1">
      <c r="D94" s="22"/>
    </row>
    <row r="95" spans="4:4" ht="12.75" customHeight="1">
      <c r="D95" s="22"/>
    </row>
    <row r="96" spans="4:4" ht="12.75" customHeight="1">
      <c r="D96" s="22"/>
    </row>
    <row r="97" spans="4:4" ht="12.75" customHeight="1">
      <c r="D97" s="22"/>
    </row>
    <row r="98" spans="4:4" ht="12.75" customHeight="1">
      <c r="D98" s="22"/>
    </row>
    <row r="99" spans="4:4" ht="12.75" customHeight="1">
      <c r="D99" s="22"/>
    </row>
    <row r="100" spans="4:4" ht="12.75" customHeight="1">
      <c r="D100" s="22"/>
    </row>
    <row r="101" spans="4:4" ht="12.75" customHeight="1">
      <c r="D101" s="22"/>
    </row>
    <row r="102" spans="4:4" ht="12.75" customHeight="1">
      <c r="D102" s="22"/>
    </row>
    <row r="103" spans="4:4" ht="12.75" customHeight="1">
      <c r="D103" s="22"/>
    </row>
    <row r="104" spans="4:4" ht="12.75" customHeight="1">
      <c r="D104" s="22"/>
    </row>
    <row r="105" spans="4:4" ht="12.75" customHeight="1">
      <c r="D105" s="22"/>
    </row>
    <row r="106" spans="4:4" ht="12.75" customHeight="1">
      <c r="D106" s="22"/>
    </row>
    <row r="107" spans="4:4" ht="12.75" customHeight="1">
      <c r="D107" s="22"/>
    </row>
    <row r="108" spans="4:4" ht="12.75" customHeight="1">
      <c r="D108" s="22"/>
    </row>
    <row r="109" spans="4:4" ht="12.75" customHeight="1">
      <c r="D109" s="22"/>
    </row>
    <row r="110" spans="4:4" ht="12.75" customHeight="1">
      <c r="D110" s="22"/>
    </row>
    <row r="111" spans="4:4" ht="12.75" customHeight="1">
      <c r="D111" s="22"/>
    </row>
    <row r="112" spans="4:4" ht="12.75" customHeight="1">
      <c r="D112" s="22"/>
    </row>
    <row r="113" spans="4:4" ht="12.75" customHeight="1">
      <c r="D113" s="22"/>
    </row>
    <row r="114" spans="4:4" ht="12.75" customHeight="1">
      <c r="D114" s="22"/>
    </row>
    <row r="115" spans="4:4" ht="12.75" customHeight="1">
      <c r="D115" s="22"/>
    </row>
    <row r="116" spans="4:4" ht="12.75" customHeight="1">
      <c r="D116" s="22"/>
    </row>
    <row r="117" spans="4:4" ht="12.75" customHeight="1">
      <c r="D117" s="22"/>
    </row>
    <row r="118" spans="4:4" ht="12.75" customHeight="1">
      <c r="D118" s="22"/>
    </row>
    <row r="119" spans="4:4" ht="12.75" customHeight="1">
      <c r="D119" s="22"/>
    </row>
    <row r="120" spans="4:4" ht="12.75" customHeight="1">
      <c r="D120" s="22"/>
    </row>
    <row r="121" spans="4:4" ht="12.75" customHeight="1">
      <c r="D121" s="22"/>
    </row>
    <row r="122" spans="4:4" ht="12.75" customHeight="1">
      <c r="D122" s="22"/>
    </row>
    <row r="123" spans="4:4" ht="12.75" customHeight="1">
      <c r="D123" s="22"/>
    </row>
    <row r="124" spans="4:4" ht="12.75" customHeight="1">
      <c r="D124" s="22"/>
    </row>
    <row r="125" spans="4:4" ht="12.75" customHeight="1">
      <c r="D125" s="22"/>
    </row>
    <row r="126" spans="4:4" ht="12.75" customHeight="1">
      <c r="D126" s="22"/>
    </row>
    <row r="127" spans="4:4" ht="12.75" customHeight="1">
      <c r="D127" s="22"/>
    </row>
    <row r="128" spans="4:4" ht="12.75" customHeight="1">
      <c r="D128" s="22"/>
    </row>
    <row r="129" spans="4:4" ht="12.75" customHeight="1">
      <c r="D129" s="22"/>
    </row>
    <row r="130" spans="4:4" ht="12.75" customHeight="1">
      <c r="D130" s="22"/>
    </row>
    <row r="131" spans="4:4" ht="12.75" customHeight="1">
      <c r="D131" s="22"/>
    </row>
    <row r="132" spans="4:4" ht="12.75" customHeight="1">
      <c r="D132" s="22"/>
    </row>
    <row r="133" spans="4:4" ht="12.75" customHeight="1">
      <c r="D133" s="22"/>
    </row>
    <row r="134" spans="4:4" ht="12.75" customHeight="1">
      <c r="D134" s="22"/>
    </row>
    <row r="135" spans="4:4" ht="12.75" customHeight="1">
      <c r="D135" s="22"/>
    </row>
    <row r="136" spans="4:4" ht="12.75" customHeight="1">
      <c r="D136" s="22"/>
    </row>
    <row r="137" spans="4:4" ht="12.75" customHeight="1">
      <c r="D137" s="22"/>
    </row>
    <row r="138" spans="4:4" ht="12.75" customHeight="1">
      <c r="D138" s="22"/>
    </row>
    <row r="139" spans="4:4" ht="12.75" customHeight="1">
      <c r="D139" s="22"/>
    </row>
    <row r="140" spans="4:4" ht="12.75" customHeight="1">
      <c r="D140" s="22"/>
    </row>
    <row r="141" spans="4:4" ht="12.75" customHeight="1">
      <c r="D141" s="22"/>
    </row>
    <row r="142" spans="4:4" ht="12.75" customHeight="1">
      <c r="D142" s="22"/>
    </row>
    <row r="143" spans="4:4" ht="12.75" customHeight="1">
      <c r="D143" s="22"/>
    </row>
    <row r="144" spans="4:4" ht="12.75" customHeight="1">
      <c r="D144" s="22"/>
    </row>
    <row r="145" spans="4:4" ht="12.75" customHeight="1">
      <c r="D145" s="22"/>
    </row>
    <row r="146" spans="4:4" ht="12.75" customHeight="1">
      <c r="D146" s="22"/>
    </row>
    <row r="147" spans="4:4" ht="12.75" customHeight="1">
      <c r="D147" s="22"/>
    </row>
    <row r="148" spans="4:4" ht="12.75" customHeight="1">
      <c r="D148" s="22"/>
    </row>
    <row r="149" spans="4:4" ht="12.75" customHeight="1">
      <c r="D149" s="22"/>
    </row>
    <row r="150" spans="4:4" ht="12.75" customHeight="1">
      <c r="D150" s="22"/>
    </row>
    <row r="151" spans="4:4" ht="12.75" customHeight="1">
      <c r="D151" s="22"/>
    </row>
    <row r="152" spans="4:4" ht="12.75" customHeight="1">
      <c r="D152" s="22"/>
    </row>
    <row r="153" spans="4:4" ht="12.75" customHeight="1">
      <c r="D153" s="22"/>
    </row>
    <row r="154" spans="4:4" ht="12.75" customHeight="1">
      <c r="D154" s="22"/>
    </row>
    <row r="155" spans="4:4" ht="12.75" customHeight="1">
      <c r="D155" s="22"/>
    </row>
    <row r="156" spans="4:4" ht="12.75" customHeight="1">
      <c r="D156" s="22"/>
    </row>
    <row r="157" spans="4:4" ht="12.75" customHeight="1">
      <c r="D157" s="22"/>
    </row>
    <row r="158" spans="4:4" ht="12.75" customHeight="1">
      <c r="D158" s="22"/>
    </row>
    <row r="159" spans="4:4" ht="12.75" customHeight="1">
      <c r="D159" s="22"/>
    </row>
    <row r="160" spans="4:4" ht="12.75" customHeight="1">
      <c r="D160" s="22"/>
    </row>
    <row r="161" spans="4:4" ht="12.75" customHeight="1">
      <c r="D161" s="22"/>
    </row>
    <row r="162" spans="4:4" ht="12.75" customHeight="1">
      <c r="D162" s="22"/>
    </row>
    <row r="163" spans="4:4" ht="12.75" customHeight="1">
      <c r="D163" s="22"/>
    </row>
    <row r="164" spans="4:4" ht="12.75" customHeight="1">
      <c r="D164" s="22"/>
    </row>
    <row r="165" spans="4:4" ht="12.75" customHeight="1">
      <c r="D165" s="22"/>
    </row>
    <row r="166" spans="4:4" ht="12.75" customHeight="1">
      <c r="D166" s="22"/>
    </row>
    <row r="167" spans="4:4" ht="12.75" customHeight="1">
      <c r="D167" s="22"/>
    </row>
    <row r="168" spans="4:4" ht="12.75" customHeight="1">
      <c r="D168" s="22"/>
    </row>
    <row r="169" spans="4:4" ht="12.75" customHeight="1">
      <c r="D169" s="22"/>
    </row>
    <row r="170" spans="4:4" ht="12.75" customHeight="1">
      <c r="D170" s="22"/>
    </row>
    <row r="171" spans="4:4" ht="12.75" customHeight="1">
      <c r="D171" s="22"/>
    </row>
    <row r="172" spans="4:4" ht="12.75" customHeight="1">
      <c r="D172" s="22"/>
    </row>
    <row r="173" spans="4:4" ht="12.75" customHeight="1">
      <c r="D173" s="22"/>
    </row>
    <row r="174" spans="4:4" ht="12.75" customHeight="1">
      <c r="D174" s="22"/>
    </row>
    <row r="175" spans="4:4" ht="12.75" customHeight="1">
      <c r="D175" s="22"/>
    </row>
    <row r="176" spans="4:4" ht="12.75" customHeight="1">
      <c r="D176" s="22"/>
    </row>
    <row r="177" spans="4:4" ht="12.75" customHeight="1">
      <c r="D177" s="22"/>
    </row>
    <row r="178" spans="4:4" ht="12.75" customHeight="1">
      <c r="D178" s="22"/>
    </row>
    <row r="179" spans="4:4" ht="12.75" customHeight="1">
      <c r="D179" s="22"/>
    </row>
    <row r="180" spans="4:4" ht="12.75" customHeight="1">
      <c r="D180" s="22"/>
    </row>
    <row r="181" spans="4:4" ht="12.75" customHeight="1">
      <c r="D181" s="22"/>
    </row>
    <row r="182" spans="4:4" ht="12.75" customHeight="1">
      <c r="D182" s="22"/>
    </row>
    <row r="183" spans="4:4" ht="12.75" customHeight="1">
      <c r="D183" s="22"/>
    </row>
    <row r="184" spans="4:4" ht="12.75" customHeight="1">
      <c r="D184" s="22"/>
    </row>
    <row r="185" spans="4:4" ht="12.75" customHeight="1">
      <c r="D185" s="22"/>
    </row>
    <row r="186" spans="4:4" ht="12.75" customHeight="1">
      <c r="D186" s="22"/>
    </row>
    <row r="187" spans="4:4" ht="12.75" customHeight="1">
      <c r="D187" s="22"/>
    </row>
    <row r="188" spans="4:4" ht="12.75" customHeight="1">
      <c r="D188" s="22"/>
    </row>
    <row r="189" spans="4:4" ht="12.75" customHeight="1">
      <c r="D189" s="22"/>
    </row>
    <row r="190" spans="4:4" ht="12.75" customHeight="1">
      <c r="D190" s="22"/>
    </row>
    <row r="191" spans="4:4" ht="12.75" customHeight="1">
      <c r="D191" s="22"/>
    </row>
    <row r="192" spans="4:4" ht="12.75" customHeight="1">
      <c r="D192" s="22"/>
    </row>
    <row r="193" spans="4:4" ht="12.75" customHeight="1">
      <c r="D193" s="22"/>
    </row>
    <row r="194" spans="4:4" ht="12.75" customHeight="1">
      <c r="D194" s="22"/>
    </row>
    <row r="195" spans="4:4" ht="12.75" customHeight="1">
      <c r="D195" s="22"/>
    </row>
    <row r="196" spans="4:4" ht="12.75" customHeight="1">
      <c r="D196" s="22"/>
    </row>
    <row r="197" spans="4:4" ht="12.75" customHeight="1">
      <c r="D197" s="22"/>
    </row>
    <row r="198" spans="4:4" ht="12.75" customHeight="1">
      <c r="D198" s="22"/>
    </row>
    <row r="199" spans="4:4" ht="12.75" customHeight="1">
      <c r="D199" s="22"/>
    </row>
    <row r="200" spans="4:4" ht="12.75" customHeight="1">
      <c r="D200" s="22"/>
    </row>
    <row r="201" spans="4:4" ht="12.75" customHeight="1">
      <c r="D201" s="22"/>
    </row>
    <row r="202" spans="4:4" ht="12.75" customHeight="1">
      <c r="D202" s="22"/>
    </row>
    <row r="203" spans="4:4" ht="12.75" customHeight="1">
      <c r="D203" s="22"/>
    </row>
    <row r="204" spans="4:4" ht="12.75" customHeight="1">
      <c r="D204" s="22"/>
    </row>
    <row r="205" spans="4:4" ht="12.75" customHeight="1">
      <c r="D205" s="22"/>
    </row>
    <row r="206" spans="4:4" ht="12.75" customHeight="1">
      <c r="D206" s="22"/>
    </row>
    <row r="207" spans="4:4" ht="12.75" customHeight="1">
      <c r="D207" s="22"/>
    </row>
    <row r="208" spans="4:4" ht="12.75" customHeight="1">
      <c r="D208" s="22"/>
    </row>
    <row r="209" spans="4:4" ht="12.75" customHeight="1">
      <c r="D209" s="22"/>
    </row>
    <row r="210" spans="4:4" ht="12.75" customHeight="1">
      <c r="D210" s="22"/>
    </row>
    <row r="211" spans="4:4" ht="12.75" customHeight="1">
      <c r="D211" s="22"/>
    </row>
    <row r="212" spans="4:4" ht="12.75" customHeight="1">
      <c r="D212" s="22"/>
    </row>
    <row r="213" spans="4:4" ht="12.75" customHeight="1">
      <c r="D213" s="22"/>
    </row>
    <row r="214" spans="4:4" ht="12.75" customHeight="1">
      <c r="D214" s="22"/>
    </row>
    <row r="215" spans="4:4" ht="12.75" customHeight="1">
      <c r="D215" s="22"/>
    </row>
    <row r="216" spans="4:4" ht="12.75" customHeight="1">
      <c r="D216" s="22"/>
    </row>
    <row r="217" spans="4:4" ht="12.75" customHeight="1">
      <c r="D217" s="22"/>
    </row>
    <row r="218" spans="4:4" ht="12.75" customHeight="1">
      <c r="D218" s="22"/>
    </row>
    <row r="219" spans="4:4" ht="12.75" customHeight="1">
      <c r="D219" s="22"/>
    </row>
    <row r="220" spans="4:4" ht="12.75" customHeight="1">
      <c r="D220" s="22"/>
    </row>
    <row r="221" spans="4:4" ht="12.75" customHeight="1">
      <c r="D221" s="22"/>
    </row>
    <row r="222" spans="4:4" ht="12.75" customHeight="1">
      <c r="D222" s="22"/>
    </row>
    <row r="223" spans="4:4" ht="12.75" customHeight="1">
      <c r="D223" s="22"/>
    </row>
    <row r="224" spans="4:4" ht="12.75" customHeight="1">
      <c r="D224" s="22"/>
    </row>
    <row r="225" spans="4:4" ht="12.75" customHeight="1">
      <c r="D225" s="22"/>
    </row>
    <row r="226" spans="4:4" ht="12.75" customHeight="1">
      <c r="D226" s="22"/>
    </row>
    <row r="227" spans="4:4" ht="12.75" customHeight="1">
      <c r="D227" s="22"/>
    </row>
    <row r="228" spans="4:4" ht="12.75" customHeight="1">
      <c r="D228" s="22"/>
    </row>
    <row r="229" spans="4:4" ht="12.75" customHeight="1">
      <c r="D229" s="22"/>
    </row>
    <row r="230" spans="4:4" ht="12.75" customHeight="1">
      <c r="D230" s="22"/>
    </row>
    <row r="231" spans="4:4" ht="12.75" customHeight="1">
      <c r="D231" s="22"/>
    </row>
    <row r="232" spans="4:4" ht="12.75" customHeight="1">
      <c r="D232" s="22"/>
    </row>
    <row r="233" spans="4:4" ht="12.75" customHeight="1">
      <c r="D233" s="22"/>
    </row>
    <row r="234" spans="4:4" ht="12.75" customHeight="1">
      <c r="D234" s="22"/>
    </row>
    <row r="235" spans="4:4" ht="12.75" customHeight="1">
      <c r="D235" s="22"/>
    </row>
    <row r="236" spans="4:4" ht="12.75" customHeight="1">
      <c r="D236" s="22"/>
    </row>
    <row r="237" spans="4:4" ht="12.75" customHeight="1">
      <c r="D237" s="22"/>
    </row>
    <row r="238" spans="4:4" ht="12.75" customHeight="1">
      <c r="D238" s="22"/>
    </row>
    <row r="239" spans="4:4" ht="12.75" customHeight="1">
      <c r="D239" s="22"/>
    </row>
    <row r="240" spans="4:4" ht="12.75" customHeight="1">
      <c r="D240" s="22"/>
    </row>
    <row r="241" spans="4:4" ht="12.75" customHeight="1">
      <c r="D241" s="22"/>
    </row>
    <row r="242" spans="4:4" ht="12.75" customHeight="1">
      <c r="D242" s="22"/>
    </row>
    <row r="243" spans="4:4" ht="12.75" customHeight="1">
      <c r="D243" s="22"/>
    </row>
    <row r="244" spans="4:4" ht="12.75" customHeight="1">
      <c r="D244" s="22"/>
    </row>
    <row r="245" spans="4:4" ht="12.75" customHeight="1">
      <c r="D245" s="22"/>
    </row>
    <row r="246" spans="4:4" ht="12.75" customHeight="1">
      <c r="D246" s="22"/>
    </row>
    <row r="247" spans="4:4" ht="12.75" customHeight="1">
      <c r="D247" s="22"/>
    </row>
    <row r="248" spans="4:4" ht="12.75" customHeight="1">
      <c r="D248" s="22"/>
    </row>
    <row r="249" spans="4:4" ht="12.75" customHeight="1">
      <c r="D249" s="22"/>
    </row>
    <row r="250" spans="4:4" ht="12.75" customHeight="1">
      <c r="D250" s="22"/>
    </row>
    <row r="251" spans="4:4" ht="12.75" customHeight="1">
      <c r="D251" s="22"/>
    </row>
    <row r="252" spans="4:4" ht="12.75" customHeight="1">
      <c r="D252" s="22"/>
    </row>
    <row r="253" spans="4:4" ht="12.75" customHeight="1">
      <c r="D253" s="22"/>
    </row>
    <row r="254" spans="4:4" ht="12.75" customHeight="1">
      <c r="D254" s="22"/>
    </row>
    <row r="255" spans="4:4" ht="12.75" customHeight="1">
      <c r="D255" s="22"/>
    </row>
    <row r="256" spans="4:4" ht="12.75" customHeight="1">
      <c r="D256" s="22"/>
    </row>
    <row r="257" spans="4:4" ht="12.75" customHeight="1">
      <c r="D257" s="22"/>
    </row>
    <row r="258" spans="4:4" ht="12.75" customHeight="1">
      <c r="D258" s="22"/>
    </row>
    <row r="259" spans="4:4" ht="12.75" customHeight="1">
      <c r="D259" s="22"/>
    </row>
    <row r="260" spans="4:4" ht="12.75" customHeight="1">
      <c r="D260" s="22"/>
    </row>
    <row r="261" spans="4:4" ht="12.75" customHeight="1">
      <c r="D261" s="22"/>
    </row>
    <row r="262" spans="4:4" ht="12.75" customHeight="1">
      <c r="D262" s="22"/>
    </row>
    <row r="263" spans="4:4" ht="12.75" customHeight="1">
      <c r="D263" s="22"/>
    </row>
    <row r="264" spans="4:4" ht="12.75" customHeight="1">
      <c r="D264" s="22"/>
    </row>
    <row r="265" spans="4:4" ht="12.75" customHeight="1">
      <c r="D265" s="22"/>
    </row>
    <row r="266" spans="4:4" ht="12.75" customHeight="1">
      <c r="D266" s="22"/>
    </row>
    <row r="267" spans="4:4" ht="12.75" customHeight="1">
      <c r="D267" s="22"/>
    </row>
    <row r="268" spans="4:4" ht="12.75" customHeight="1">
      <c r="D268" s="22"/>
    </row>
    <row r="269" spans="4:4" ht="12.75" customHeight="1">
      <c r="D269" s="22"/>
    </row>
    <row r="270" spans="4:4" ht="12.75" customHeight="1">
      <c r="D270" s="22"/>
    </row>
    <row r="271" spans="4:4" ht="12.75" customHeight="1">
      <c r="D271" s="22"/>
    </row>
    <row r="272" spans="4:4" ht="12.75" customHeight="1">
      <c r="D272" s="22"/>
    </row>
    <row r="273" spans="4:4" ht="12.75" customHeight="1">
      <c r="D273" s="22"/>
    </row>
    <row r="274" spans="4:4" ht="12.75" customHeight="1">
      <c r="D274" s="22"/>
    </row>
    <row r="275" spans="4:4" ht="12.75" customHeight="1">
      <c r="D275" s="22"/>
    </row>
    <row r="276" spans="4:4" ht="12.75" customHeight="1">
      <c r="D276" s="22"/>
    </row>
    <row r="277" spans="4:4" ht="12.75" customHeight="1">
      <c r="D277" s="22"/>
    </row>
    <row r="278" spans="4:4" ht="12.75" customHeight="1">
      <c r="D278" s="22"/>
    </row>
    <row r="279" spans="4:4" ht="12.75" customHeight="1">
      <c r="D279" s="22"/>
    </row>
    <row r="280" spans="4:4" ht="12.75" customHeight="1">
      <c r="D280" s="22"/>
    </row>
    <row r="281" spans="4:4" ht="12.75" customHeight="1">
      <c r="D281" s="22"/>
    </row>
    <row r="282" spans="4:4" ht="12.75" customHeight="1">
      <c r="D282" s="22"/>
    </row>
    <row r="283" spans="4:4" ht="12.75" customHeight="1">
      <c r="D283" s="22"/>
    </row>
    <row r="284" spans="4:4" ht="12.75" customHeight="1">
      <c r="D284" s="22"/>
    </row>
    <row r="285" spans="4:4" ht="12.75" customHeight="1">
      <c r="D285" s="22"/>
    </row>
    <row r="286" spans="4:4" ht="12.75" customHeight="1">
      <c r="D286" s="22"/>
    </row>
    <row r="287" spans="4:4" ht="12.75" customHeight="1">
      <c r="D287" s="22"/>
    </row>
    <row r="288" spans="4:4" ht="12.75" customHeight="1">
      <c r="D288" s="22"/>
    </row>
    <row r="289" spans="4:4" ht="12.75" customHeight="1">
      <c r="D289" s="22"/>
    </row>
    <row r="290" spans="4:4" ht="12.75" customHeight="1">
      <c r="D290" s="22"/>
    </row>
    <row r="291" spans="4:4" ht="12.75" customHeight="1">
      <c r="D291" s="22"/>
    </row>
    <row r="292" spans="4:4" ht="12.75" customHeight="1">
      <c r="D292" s="22"/>
    </row>
    <row r="293" spans="4:4" ht="12.75" customHeight="1">
      <c r="D293" s="22"/>
    </row>
    <row r="294" spans="4:4" ht="12.75" customHeight="1">
      <c r="D294" s="22"/>
    </row>
    <row r="295" spans="4:4" ht="12.75" customHeight="1">
      <c r="D295" s="22"/>
    </row>
    <row r="296" spans="4:4" ht="12.75" customHeight="1">
      <c r="D296" s="22"/>
    </row>
    <row r="297" spans="4:4" ht="12.75" customHeight="1">
      <c r="D297" s="22"/>
    </row>
    <row r="298" spans="4:4" ht="12.75" customHeight="1">
      <c r="D298" s="22"/>
    </row>
    <row r="299" spans="4:4" ht="12.75" customHeight="1">
      <c r="D299" s="22"/>
    </row>
    <row r="300" spans="4:4" ht="12.75" customHeight="1">
      <c r="D300" s="22"/>
    </row>
    <row r="301" spans="4:4" ht="12.75" customHeight="1">
      <c r="D301" s="22"/>
    </row>
    <row r="302" spans="4:4" ht="12.75" customHeight="1">
      <c r="D302" s="22"/>
    </row>
    <row r="303" spans="4:4" ht="12.75" customHeight="1">
      <c r="D303" s="22"/>
    </row>
    <row r="304" spans="4:4" ht="12.75" customHeight="1">
      <c r="D304" s="22"/>
    </row>
    <row r="305" spans="4:4" ht="12.75" customHeight="1">
      <c r="D305" s="22"/>
    </row>
    <row r="306" spans="4:4" ht="12.75" customHeight="1">
      <c r="D306" s="22"/>
    </row>
    <row r="307" spans="4:4" ht="12.75" customHeight="1">
      <c r="D307" s="22"/>
    </row>
    <row r="308" spans="4:4" ht="12.75" customHeight="1">
      <c r="D308" s="22"/>
    </row>
    <row r="309" spans="4:4" ht="12.75" customHeight="1">
      <c r="D309" s="22"/>
    </row>
    <row r="310" spans="4:4" ht="12.75" customHeight="1">
      <c r="D310" s="22"/>
    </row>
    <row r="311" spans="4:4" ht="12.75" customHeight="1">
      <c r="D311" s="22"/>
    </row>
    <row r="312" spans="4:4" ht="12.75" customHeight="1">
      <c r="D312" s="22"/>
    </row>
    <row r="313" spans="4:4" ht="12.75" customHeight="1">
      <c r="D313" s="22"/>
    </row>
    <row r="314" spans="4:4" ht="12.75" customHeight="1">
      <c r="D314" s="22"/>
    </row>
    <row r="315" spans="4:4" ht="12.75" customHeight="1">
      <c r="D315" s="22"/>
    </row>
    <row r="316" spans="4:4" ht="12.75" customHeight="1">
      <c r="D316" s="22"/>
    </row>
    <row r="317" spans="4:4" ht="12.75" customHeight="1">
      <c r="D317" s="22"/>
    </row>
    <row r="318" spans="4:4" ht="12.75" customHeight="1">
      <c r="D318" s="22"/>
    </row>
    <row r="319" spans="4:4" ht="12.75" customHeight="1">
      <c r="D319" s="22"/>
    </row>
    <row r="320" spans="4:4" ht="12.75" customHeight="1">
      <c r="D320" s="22"/>
    </row>
    <row r="321" spans="4:4" ht="12.75" customHeight="1">
      <c r="D321" s="22"/>
    </row>
    <row r="322" spans="4:4" ht="12.75" customHeight="1">
      <c r="D322" s="22"/>
    </row>
    <row r="323" spans="4:4" ht="12.75" customHeight="1">
      <c r="D323" s="22"/>
    </row>
    <row r="324" spans="4:4" ht="12.75" customHeight="1">
      <c r="D324" s="22"/>
    </row>
    <row r="325" spans="4:4" ht="12.75" customHeight="1">
      <c r="D325" s="22"/>
    </row>
    <row r="326" spans="4:4" ht="12.75" customHeight="1">
      <c r="D326" s="22"/>
    </row>
    <row r="327" spans="4:4" ht="12.75" customHeight="1">
      <c r="D327" s="22"/>
    </row>
    <row r="328" spans="4:4" ht="12.75" customHeight="1">
      <c r="D328" s="22"/>
    </row>
    <row r="329" spans="4:4" ht="12.75" customHeight="1">
      <c r="D329" s="22"/>
    </row>
    <row r="330" spans="4:4" ht="12.75" customHeight="1">
      <c r="D330" s="22"/>
    </row>
    <row r="331" spans="4:4" ht="12.75" customHeight="1">
      <c r="D331" s="22"/>
    </row>
    <row r="332" spans="4:4" ht="12.75" customHeight="1">
      <c r="D332" s="22"/>
    </row>
    <row r="333" spans="4:4" ht="12.75" customHeight="1">
      <c r="D333" s="22"/>
    </row>
    <row r="334" spans="4:4" ht="12.75" customHeight="1">
      <c r="D334" s="22"/>
    </row>
    <row r="335" spans="4:4" ht="12.75" customHeight="1">
      <c r="D335" s="22"/>
    </row>
    <row r="336" spans="4:4" ht="12.75" customHeight="1">
      <c r="D336" s="22"/>
    </row>
    <row r="337" spans="4:4" ht="12.75" customHeight="1">
      <c r="D337" s="22"/>
    </row>
    <row r="338" spans="4:4" ht="12.75" customHeight="1">
      <c r="D338" s="22"/>
    </row>
    <row r="339" spans="4:4" ht="12.75" customHeight="1">
      <c r="D339" s="22"/>
    </row>
    <row r="340" spans="4:4" ht="12.75" customHeight="1">
      <c r="D340" s="22"/>
    </row>
    <row r="341" spans="4:4" ht="12.75" customHeight="1">
      <c r="D341" s="22"/>
    </row>
    <row r="342" spans="4:4" ht="12.75" customHeight="1">
      <c r="D342" s="22"/>
    </row>
    <row r="343" spans="4:4" ht="12.75" customHeight="1">
      <c r="D343" s="22"/>
    </row>
    <row r="344" spans="4:4" ht="12.75" customHeight="1">
      <c r="D344" s="22"/>
    </row>
    <row r="345" spans="4:4" ht="12.75" customHeight="1">
      <c r="D345" s="22"/>
    </row>
    <row r="346" spans="4:4" ht="12.75" customHeight="1">
      <c r="D346" s="22"/>
    </row>
    <row r="347" spans="4:4" ht="12.75" customHeight="1">
      <c r="D347" s="22"/>
    </row>
    <row r="348" spans="4:4" ht="12.75" customHeight="1">
      <c r="D348" s="22"/>
    </row>
    <row r="349" spans="4:4" ht="12.75" customHeight="1">
      <c r="D349" s="22"/>
    </row>
    <row r="350" spans="4:4" ht="12.75" customHeight="1">
      <c r="D350" s="22"/>
    </row>
    <row r="351" spans="4:4" ht="12.75" customHeight="1">
      <c r="D351" s="22"/>
    </row>
    <row r="352" spans="4:4" ht="12.75" customHeight="1">
      <c r="D352" s="22"/>
    </row>
    <row r="353" spans="4:4" ht="12.75" customHeight="1">
      <c r="D353" s="22"/>
    </row>
    <row r="354" spans="4:4" ht="12.75" customHeight="1">
      <c r="D354" s="22"/>
    </row>
    <row r="355" spans="4:4" ht="12.75" customHeight="1">
      <c r="D355" s="22"/>
    </row>
    <row r="356" spans="4:4" ht="12.75" customHeight="1">
      <c r="D356" s="22"/>
    </row>
    <row r="357" spans="4:4" ht="12.75" customHeight="1">
      <c r="D357" s="22"/>
    </row>
    <row r="358" spans="4:4" ht="12.75" customHeight="1">
      <c r="D358" s="22"/>
    </row>
    <row r="359" spans="4:4" ht="12.75" customHeight="1">
      <c r="D359" s="22"/>
    </row>
    <row r="360" spans="4:4" ht="12.75" customHeight="1">
      <c r="D360" s="22"/>
    </row>
    <row r="361" spans="4:4" ht="12.75" customHeight="1">
      <c r="D361" s="22"/>
    </row>
    <row r="362" spans="4:4" ht="12.75" customHeight="1">
      <c r="D362" s="22"/>
    </row>
    <row r="363" spans="4:4" ht="12.75" customHeight="1">
      <c r="D363" s="22"/>
    </row>
    <row r="364" spans="4:4" ht="12.75" customHeight="1">
      <c r="D364" s="22"/>
    </row>
    <row r="365" spans="4:4" ht="12.75" customHeight="1">
      <c r="D365" s="22"/>
    </row>
    <row r="366" spans="4:4" ht="12.75" customHeight="1">
      <c r="D366" s="22"/>
    </row>
    <row r="367" spans="4:4" ht="12.75" customHeight="1">
      <c r="D367" s="22"/>
    </row>
    <row r="368" spans="4:4" ht="12.75" customHeight="1">
      <c r="D368" s="22"/>
    </row>
    <row r="369" spans="4:4" ht="12.75" customHeight="1">
      <c r="D369" s="22"/>
    </row>
    <row r="370" spans="4:4" ht="12.75" customHeight="1">
      <c r="D370" s="22"/>
    </row>
    <row r="371" spans="4:4" ht="12.75" customHeight="1">
      <c r="D371" s="22"/>
    </row>
    <row r="372" spans="4:4" ht="12.75" customHeight="1">
      <c r="D372" s="22"/>
    </row>
    <row r="373" spans="4:4" ht="12.75" customHeight="1">
      <c r="D373" s="22"/>
    </row>
    <row r="374" spans="4:4" ht="12.75" customHeight="1">
      <c r="D374" s="22"/>
    </row>
    <row r="375" spans="4:4" ht="12.75" customHeight="1">
      <c r="D375" s="22"/>
    </row>
    <row r="376" spans="4:4" ht="12.75" customHeight="1">
      <c r="D376" s="22"/>
    </row>
    <row r="377" spans="4:4" ht="12.75" customHeight="1">
      <c r="D377" s="22"/>
    </row>
    <row r="378" spans="4:4" ht="12.75" customHeight="1">
      <c r="D378" s="22"/>
    </row>
    <row r="379" spans="4:4" ht="12.75" customHeight="1">
      <c r="D379" s="22"/>
    </row>
    <row r="380" spans="4:4" ht="12.75" customHeight="1">
      <c r="D380" s="22"/>
    </row>
    <row r="381" spans="4:4" ht="12.75" customHeight="1">
      <c r="D381" s="22"/>
    </row>
    <row r="382" spans="4:4" ht="12.75" customHeight="1">
      <c r="D382" s="22"/>
    </row>
    <row r="383" spans="4:4" ht="12.75" customHeight="1">
      <c r="D383" s="22"/>
    </row>
    <row r="384" spans="4:4" ht="12.75" customHeight="1">
      <c r="D384" s="22"/>
    </row>
    <row r="385" spans="4:4" ht="12.75" customHeight="1">
      <c r="D385" s="22"/>
    </row>
    <row r="386" spans="4:4" ht="12.75" customHeight="1">
      <c r="D386" s="22"/>
    </row>
    <row r="387" spans="4:4" ht="12.75" customHeight="1">
      <c r="D387" s="22"/>
    </row>
    <row r="388" spans="4:4" ht="12.75" customHeight="1">
      <c r="D388" s="22"/>
    </row>
    <row r="389" spans="4:4" ht="12.75" customHeight="1">
      <c r="D389" s="22"/>
    </row>
    <row r="390" spans="4:4" ht="12.75" customHeight="1">
      <c r="D390" s="22"/>
    </row>
    <row r="391" spans="4:4" ht="12.75" customHeight="1">
      <c r="D391" s="22"/>
    </row>
    <row r="392" spans="4:4" ht="12.75" customHeight="1">
      <c r="D392" s="22"/>
    </row>
    <row r="393" spans="4:4" ht="12.75" customHeight="1">
      <c r="D393" s="22"/>
    </row>
    <row r="394" spans="4:4" ht="12.75" customHeight="1">
      <c r="D394" s="22"/>
    </row>
    <row r="395" spans="4:4" ht="12.75" customHeight="1">
      <c r="D395" s="22"/>
    </row>
    <row r="396" spans="4:4" ht="12.75" customHeight="1">
      <c r="D396" s="22"/>
    </row>
    <row r="397" spans="4:4" ht="12.75" customHeight="1">
      <c r="D397" s="22"/>
    </row>
    <row r="398" spans="4:4" ht="12.75" customHeight="1">
      <c r="D398" s="22"/>
    </row>
    <row r="399" spans="4:4" ht="12.75" customHeight="1">
      <c r="D399" s="22"/>
    </row>
    <row r="400" spans="4:4" ht="12.75" customHeight="1">
      <c r="D400" s="22"/>
    </row>
    <row r="401" spans="4:4" ht="12.75" customHeight="1">
      <c r="D401" s="22"/>
    </row>
    <row r="402" spans="4:4" ht="12.75" customHeight="1">
      <c r="D402" s="22"/>
    </row>
    <row r="403" spans="4:4" ht="12.75" customHeight="1">
      <c r="D403" s="22"/>
    </row>
    <row r="404" spans="4:4" ht="12.75" customHeight="1">
      <c r="D404" s="22"/>
    </row>
    <row r="405" spans="4:4" ht="12.75" customHeight="1">
      <c r="D405" s="22"/>
    </row>
    <row r="406" spans="4:4" ht="12.75" customHeight="1">
      <c r="D406" s="22"/>
    </row>
    <row r="407" spans="4:4" ht="12.75" customHeight="1">
      <c r="D407" s="22"/>
    </row>
    <row r="408" spans="4:4" ht="12.75" customHeight="1">
      <c r="D408" s="22"/>
    </row>
    <row r="409" spans="4:4" ht="12.75" customHeight="1">
      <c r="D409" s="22"/>
    </row>
    <row r="410" spans="4:4" ht="12.75" customHeight="1">
      <c r="D410" s="22"/>
    </row>
    <row r="411" spans="4:4" ht="12.75" customHeight="1">
      <c r="D411" s="22"/>
    </row>
    <row r="412" spans="4:4" ht="12.75" customHeight="1">
      <c r="D412" s="22"/>
    </row>
    <row r="413" spans="4:4" ht="12.75" customHeight="1">
      <c r="D413" s="22"/>
    </row>
    <row r="414" spans="4:4" ht="12.75" customHeight="1">
      <c r="D414" s="22"/>
    </row>
    <row r="415" spans="4:4" ht="12.75" customHeight="1">
      <c r="D415" s="22"/>
    </row>
    <row r="416" spans="4:4" ht="12.75" customHeight="1">
      <c r="D416" s="22"/>
    </row>
    <row r="417" spans="4:4" ht="12.75" customHeight="1">
      <c r="D417" s="22"/>
    </row>
    <row r="418" spans="4:4" ht="12.75" customHeight="1">
      <c r="D418" s="22"/>
    </row>
    <row r="419" spans="4:4" ht="12.75" customHeight="1">
      <c r="D419" s="22"/>
    </row>
    <row r="420" spans="4:4" ht="12.75" customHeight="1">
      <c r="D420" s="22"/>
    </row>
    <row r="421" spans="4:4" ht="12.75" customHeight="1">
      <c r="D421" s="22"/>
    </row>
    <row r="422" spans="4:4" ht="12.75" customHeight="1">
      <c r="D422" s="22"/>
    </row>
    <row r="423" spans="4:4" ht="12.75" customHeight="1">
      <c r="D423" s="22"/>
    </row>
    <row r="424" spans="4:4" ht="12.75" customHeight="1">
      <c r="D424" s="22"/>
    </row>
    <row r="425" spans="4:4" ht="12.75" customHeight="1">
      <c r="D425" s="22"/>
    </row>
    <row r="426" spans="4:4" ht="12.75" customHeight="1">
      <c r="D426" s="22"/>
    </row>
    <row r="427" spans="4:4" ht="12.75" customHeight="1">
      <c r="D427" s="22"/>
    </row>
    <row r="428" spans="4:4" ht="12.75" customHeight="1">
      <c r="D428" s="22"/>
    </row>
    <row r="429" spans="4:4" ht="12.75" customHeight="1">
      <c r="D429" s="22"/>
    </row>
    <row r="430" spans="4:4" ht="12.75" customHeight="1">
      <c r="D430" s="22"/>
    </row>
    <row r="431" spans="4:4" ht="12.75" customHeight="1">
      <c r="D431" s="22"/>
    </row>
    <row r="432" spans="4:4" ht="12.75" customHeight="1">
      <c r="D432" s="22"/>
    </row>
    <row r="433" spans="4:4" ht="12.75" customHeight="1">
      <c r="D433" s="22"/>
    </row>
    <row r="434" spans="4:4" ht="12.75" customHeight="1">
      <c r="D434" s="22"/>
    </row>
    <row r="435" spans="4:4" ht="12.75" customHeight="1">
      <c r="D435" s="22"/>
    </row>
    <row r="436" spans="4:4" ht="12.75" customHeight="1">
      <c r="D436" s="22"/>
    </row>
    <row r="437" spans="4:4" ht="12.75" customHeight="1">
      <c r="D437" s="22"/>
    </row>
    <row r="438" spans="4:4" ht="12.75" customHeight="1">
      <c r="D438" s="22"/>
    </row>
    <row r="439" spans="4:4" ht="12.75" customHeight="1">
      <c r="D439" s="22"/>
    </row>
    <row r="440" spans="4:4" ht="12.75" customHeight="1">
      <c r="D440" s="22"/>
    </row>
    <row r="441" spans="4:4" ht="12.75" customHeight="1">
      <c r="D441" s="22"/>
    </row>
    <row r="442" spans="4:4" ht="12.75" customHeight="1">
      <c r="D442" s="22"/>
    </row>
    <row r="443" spans="4:4" ht="12.75" customHeight="1">
      <c r="D443" s="22"/>
    </row>
    <row r="444" spans="4:4" ht="12.75" customHeight="1">
      <c r="D444" s="22"/>
    </row>
    <row r="445" spans="4:4" ht="12.75" customHeight="1">
      <c r="D445" s="22"/>
    </row>
    <row r="446" spans="4:4" ht="12.75" customHeight="1">
      <c r="D446" s="22"/>
    </row>
    <row r="447" spans="4:4" ht="12.75" customHeight="1">
      <c r="D447" s="22"/>
    </row>
    <row r="448" spans="4:4" ht="12.75" customHeight="1">
      <c r="D448" s="22"/>
    </row>
    <row r="449" spans="4:4" ht="12.75" customHeight="1">
      <c r="D449" s="22"/>
    </row>
    <row r="450" spans="4:4" ht="12.75" customHeight="1">
      <c r="D450" s="22"/>
    </row>
    <row r="451" spans="4:4" ht="12.75" customHeight="1">
      <c r="D451" s="22"/>
    </row>
    <row r="452" spans="4:4" ht="12.75" customHeight="1">
      <c r="D452" s="22"/>
    </row>
    <row r="453" spans="4:4" ht="12.75" customHeight="1">
      <c r="D453" s="22"/>
    </row>
    <row r="454" spans="4:4" ht="12.75" customHeight="1">
      <c r="D454" s="22"/>
    </row>
    <row r="455" spans="4:4" ht="12.75" customHeight="1">
      <c r="D455" s="22"/>
    </row>
    <row r="456" spans="4:4" ht="12.75" customHeight="1">
      <c r="D456" s="22"/>
    </row>
    <row r="457" spans="4:4" ht="12.75" customHeight="1">
      <c r="D457" s="22"/>
    </row>
    <row r="458" spans="4:4" ht="12.75" customHeight="1">
      <c r="D458" s="22"/>
    </row>
    <row r="459" spans="4:4" ht="12.75" customHeight="1">
      <c r="D459" s="22"/>
    </row>
    <row r="460" spans="4:4" ht="12.75" customHeight="1">
      <c r="D460" s="22"/>
    </row>
    <row r="461" spans="4:4" ht="12.75" customHeight="1">
      <c r="D461" s="22"/>
    </row>
    <row r="462" spans="4:4" ht="12.75" customHeight="1">
      <c r="D462" s="22"/>
    </row>
    <row r="463" spans="4:4" ht="12.75" customHeight="1">
      <c r="D463" s="22"/>
    </row>
    <row r="464" spans="4:4" ht="12.75" customHeight="1">
      <c r="D464" s="22"/>
    </row>
    <row r="465" spans="4:4" ht="12.75" customHeight="1">
      <c r="D465" s="22"/>
    </row>
    <row r="466" spans="4:4" ht="12.75" customHeight="1">
      <c r="D466" s="22"/>
    </row>
    <row r="467" spans="4:4" ht="12.75" customHeight="1">
      <c r="D467" s="22"/>
    </row>
    <row r="468" spans="4:4" ht="12.75" customHeight="1">
      <c r="D468" s="22"/>
    </row>
    <row r="469" spans="4:4" ht="12.75" customHeight="1">
      <c r="D469" s="22"/>
    </row>
    <row r="470" spans="4:4" ht="12.75" customHeight="1">
      <c r="D470" s="22"/>
    </row>
    <row r="471" spans="4:4" ht="12.75" customHeight="1">
      <c r="D471" s="22"/>
    </row>
    <row r="472" spans="4:4" ht="12.75" customHeight="1">
      <c r="D472" s="22"/>
    </row>
    <row r="473" spans="4:4" ht="12.75" customHeight="1">
      <c r="D473" s="22"/>
    </row>
    <row r="474" spans="4:4" ht="12.75" customHeight="1">
      <c r="D474" s="22"/>
    </row>
    <row r="475" spans="4:4" ht="12.75" customHeight="1">
      <c r="D475" s="22"/>
    </row>
    <row r="476" spans="4:4" ht="12.75" customHeight="1">
      <c r="D476" s="22"/>
    </row>
    <row r="477" spans="4:4" ht="12.75" customHeight="1">
      <c r="D477" s="22"/>
    </row>
    <row r="478" spans="4:4" ht="12.75" customHeight="1">
      <c r="D478" s="22"/>
    </row>
    <row r="479" spans="4:4" ht="12.75" customHeight="1">
      <c r="D479" s="22"/>
    </row>
    <row r="480" spans="4:4" ht="12.75" customHeight="1">
      <c r="D480" s="22"/>
    </row>
    <row r="481" spans="4:4" ht="12.75" customHeight="1">
      <c r="D481" s="22"/>
    </row>
    <row r="482" spans="4:4" ht="12.75" customHeight="1">
      <c r="D482" s="22"/>
    </row>
    <row r="483" spans="4:4" ht="12.75" customHeight="1">
      <c r="D483" s="22"/>
    </row>
    <row r="484" spans="4:4" ht="12.75" customHeight="1">
      <c r="D484" s="22"/>
    </row>
    <row r="485" spans="4:4" ht="12.75" customHeight="1">
      <c r="D485" s="22"/>
    </row>
    <row r="486" spans="4:4" ht="12.75" customHeight="1">
      <c r="D486" s="22"/>
    </row>
    <row r="487" spans="4:4" ht="12.75" customHeight="1">
      <c r="D487" s="22"/>
    </row>
    <row r="488" spans="4:4" ht="12.75" customHeight="1">
      <c r="D488" s="22"/>
    </row>
    <row r="489" spans="4:4" ht="12.75" customHeight="1">
      <c r="D489" s="22"/>
    </row>
    <row r="490" spans="4:4" ht="12.75" customHeight="1">
      <c r="D490" s="22"/>
    </row>
    <row r="491" spans="4:4" ht="12.75" customHeight="1">
      <c r="D491" s="22"/>
    </row>
    <row r="492" spans="4:4" ht="12.75" customHeight="1">
      <c r="D492" s="22"/>
    </row>
    <row r="493" spans="4:4" ht="12.75" customHeight="1">
      <c r="D493" s="22"/>
    </row>
    <row r="494" spans="4:4" ht="12.75" customHeight="1">
      <c r="D494" s="22"/>
    </row>
    <row r="495" spans="4:4" ht="12.75" customHeight="1">
      <c r="D495" s="22"/>
    </row>
    <row r="496" spans="4:4" ht="12.75" customHeight="1">
      <c r="D496" s="22"/>
    </row>
    <row r="497" spans="4:4" ht="12.75" customHeight="1">
      <c r="D497" s="22"/>
    </row>
    <row r="498" spans="4:4" ht="12.75" customHeight="1">
      <c r="D498" s="22"/>
    </row>
    <row r="499" spans="4:4" ht="12.75" customHeight="1">
      <c r="D499" s="22"/>
    </row>
    <row r="500" spans="4:4" ht="12.75" customHeight="1">
      <c r="D500" s="22"/>
    </row>
    <row r="501" spans="4:4" ht="12.75" customHeight="1">
      <c r="D501" s="22"/>
    </row>
    <row r="502" spans="4:4" ht="12.75" customHeight="1">
      <c r="D502" s="22"/>
    </row>
    <row r="503" spans="4:4" ht="12.75" customHeight="1">
      <c r="D503" s="22"/>
    </row>
    <row r="504" spans="4:4" ht="12.75" customHeight="1">
      <c r="D504" s="22"/>
    </row>
    <row r="505" spans="4:4" ht="12.75" customHeight="1">
      <c r="D505" s="22"/>
    </row>
    <row r="506" spans="4:4" ht="12.75" customHeight="1">
      <c r="D506" s="22"/>
    </row>
    <row r="507" spans="4:4" ht="12.75" customHeight="1">
      <c r="D507" s="22"/>
    </row>
    <row r="508" spans="4:4" ht="12.75" customHeight="1">
      <c r="D508" s="22"/>
    </row>
    <row r="509" spans="4:4" ht="12.75" customHeight="1">
      <c r="D509" s="22"/>
    </row>
    <row r="510" spans="4:4" ht="12.75" customHeight="1">
      <c r="D510" s="22"/>
    </row>
    <row r="511" spans="4:4" ht="12.75" customHeight="1">
      <c r="D511" s="22"/>
    </row>
    <row r="512" spans="4:4" ht="12.75" customHeight="1">
      <c r="D512" s="22"/>
    </row>
    <row r="513" spans="4:4" ht="12.75" customHeight="1">
      <c r="D513" s="22"/>
    </row>
    <row r="514" spans="4:4" ht="12.75" customHeight="1">
      <c r="D514" s="22"/>
    </row>
    <row r="515" spans="4:4" ht="12.75" customHeight="1">
      <c r="D515" s="22"/>
    </row>
    <row r="516" spans="4:4" ht="12.75" customHeight="1">
      <c r="D516" s="22"/>
    </row>
    <row r="517" spans="4:4" ht="12.75" customHeight="1">
      <c r="D517" s="22"/>
    </row>
    <row r="518" spans="4:4" ht="12.75" customHeight="1">
      <c r="D518" s="22"/>
    </row>
    <row r="519" spans="4:4" ht="12.75" customHeight="1">
      <c r="D519" s="22"/>
    </row>
    <row r="520" spans="4:4" ht="12.75" customHeight="1">
      <c r="D520" s="22"/>
    </row>
    <row r="521" spans="4:4" ht="12.75" customHeight="1">
      <c r="D521" s="22"/>
    </row>
    <row r="522" spans="4:4" ht="12.75" customHeight="1">
      <c r="D522" s="22"/>
    </row>
    <row r="523" spans="4:4" ht="12.75" customHeight="1">
      <c r="D523" s="22"/>
    </row>
    <row r="524" spans="4:4" ht="12.75" customHeight="1">
      <c r="D524" s="22"/>
    </row>
    <row r="525" spans="4:4" ht="12.75" customHeight="1">
      <c r="D525" s="22"/>
    </row>
    <row r="526" spans="4:4" ht="12.75" customHeight="1">
      <c r="D526" s="22"/>
    </row>
    <row r="527" spans="4:4" ht="12.75" customHeight="1">
      <c r="D527" s="22"/>
    </row>
    <row r="528" spans="4:4" ht="12.75" customHeight="1">
      <c r="D528" s="22"/>
    </row>
    <row r="529" spans="4:4" ht="12.75" customHeight="1">
      <c r="D529" s="22"/>
    </row>
    <row r="530" spans="4:4" ht="12.75" customHeight="1">
      <c r="D530" s="22"/>
    </row>
    <row r="531" spans="4:4" ht="12.75" customHeight="1">
      <c r="D531" s="22"/>
    </row>
    <row r="532" spans="4:4" ht="12.75" customHeight="1">
      <c r="D532" s="22"/>
    </row>
    <row r="533" spans="4:4" ht="12.75" customHeight="1">
      <c r="D533" s="22"/>
    </row>
    <row r="534" spans="4:4" ht="12.75" customHeight="1">
      <c r="D534" s="22"/>
    </row>
    <row r="535" spans="4:4" ht="12.75" customHeight="1">
      <c r="D535" s="22"/>
    </row>
    <row r="536" spans="4:4" ht="12.75" customHeight="1">
      <c r="D536" s="22"/>
    </row>
    <row r="537" spans="4:4" ht="12.75" customHeight="1">
      <c r="D537" s="22"/>
    </row>
    <row r="538" spans="4:4" ht="12.75" customHeight="1">
      <c r="D538" s="22"/>
    </row>
    <row r="539" spans="4:4" ht="12.75" customHeight="1">
      <c r="D539" s="22"/>
    </row>
    <row r="540" spans="4:4" ht="12.75" customHeight="1">
      <c r="D540" s="22"/>
    </row>
    <row r="541" spans="4:4" ht="12.75" customHeight="1">
      <c r="D541" s="22"/>
    </row>
    <row r="542" spans="4:4" ht="12.75" customHeight="1">
      <c r="D542" s="22"/>
    </row>
    <row r="543" spans="4:4" ht="12.75" customHeight="1">
      <c r="D543" s="22"/>
    </row>
    <row r="544" spans="4:4" ht="12.75" customHeight="1">
      <c r="D544" s="22"/>
    </row>
    <row r="545" spans="4:4" ht="12.75" customHeight="1">
      <c r="D545" s="22"/>
    </row>
    <row r="546" spans="4:4" ht="12.75" customHeight="1">
      <c r="D546" s="22"/>
    </row>
    <row r="547" spans="4:4" ht="12.75" customHeight="1">
      <c r="D547" s="22"/>
    </row>
    <row r="548" spans="4:4" ht="12.75" customHeight="1">
      <c r="D548" s="22"/>
    </row>
    <row r="549" spans="4:4" ht="12.75" customHeight="1">
      <c r="D549" s="22"/>
    </row>
    <row r="550" spans="4:4" ht="12.75" customHeight="1">
      <c r="D550" s="22"/>
    </row>
    <row r="551" spans="4:4" ht="12.75" customHeight="1">
      <c r="D551" s="22"/>
    </row>
    <row r="552" spans="4:4" ht="12.75" customHeight="1">
      <c r="D552" s="22"/>
    </row>
    <row r="553" spans="4:4" ht="12.75" customHeight="1">
      <c r="D553" s="22"/>
    </row>
    <row r="554" spans="4:4" ht="12.75" customHeight="1">
      <c r="D554" s="22"/>
    </row>
    <row r="555" spans="4:4" ht="12.75" customHeight="1">
      <c r="D555" s="22"/>
    </row>
    <row r="556" spans="4:4" ht="12.75" customHeight="1">
      <c r="D556" s="22"/>
    </row>
    <row r="557" spans="4:4" ht="12.75" customHeight="1">
      <c r="D557" s="22"/>
    </row>
    <row r="558" spans="4:4" ht="12.75" customHeight="1">
      <c r="D558" s="22"/>
    </row>
    <row r="559" spans="4:4" ht="12.75" customHeight="1">
      <c r="D559" s="22"/>
    </row>
    <row r="560" spans="4:4" ht="12.75" customHeight="1">
      <c r="D560" s="22"/>
    </row>
    <row r="561" spans="4:4" ht="12.75" customHeight="1">
      <c r="D561" s="22"/>
    </row>
    <row r="562" spans="4:4" ht="12.75" customHeight="1">
      <c r="D562" s="22"/>
    </row>
    <row r="563" spans="4:4" ht="12.75" customHeight="1">
      <c r="D563" s="22"/>
    </row>
    <row r="564" spans="4:4" ht="12.75" customHeight="1">
      <c r="D564" s="22"/>
    </row>
    <row r="565" spans="4:4" ht="12.75" customHeight="1">
      <c r="D565" s="22"/>
    </row>
    <row r="566" spans="4:4" ht="12.75" customHeight="1">
      <c r="D566" s="22"/>
    </row>
    <row r="567" spans="4:4" ht="12.75" customHeight="1">
      <c r="D567" s="22"/>
    </row>
    <row r="568" spans="4:4" ht="12.75" customHeight="1">
      <c r="D568" s="22"/>
    </row>
    <row r="569" spans="4:4" ht="12.75" customHeight="1">
      <c r="D569" s="22"/>
    </row>
    <row r="570" spans="4:4" ht="12.75" customHeight="1">
      <c r="D570" s="22"/>
    </row>
    <row r="571" spans="4:4" ht="12.75" customHeight="1">
      <c r="D571" s="22"/>
    </row>
    <row r="572" spans="4:4" ht="12.75" customHeight="1">
      <c r="D572" s="22"/>
    </row>
    <row r="573" spans="4:4" ht="12.75" customHeight="1">
      <c r="D573" s="22"/>
    </row>
    <row r="574" spans="4:4" ht="12.75" customHeight="1">
      <c r="D574" s="22"/>
    </row>
    <row r="575" spans="4:4" ht="12.75" customHeight="1">
      <c r="D575" s="22"/>
    </row>
    <row r="576" spans="4:4" ht="12.75" customHeight="1">
      <c r="D576" s="22"/>
    </row>
    <row r="577" spans="4:4" ht="12.75" customHeight="1">
      <c r="D577" s="22"/>
    </row>
    <row r="578" spans="4:4" ht="12.75" customHeight="1">
      <c r="D578" s="22"/>
    </row>
    <row r="579" spans="4:4" ht="12.75" customHeight="1">
      <c r="D579" s="22"/>
    </row>
    <row r="580" spans="4:4" ht="12.75" customHeight="1">
      <c r="D580" s="22"/>
    </row>
    <row r="581" spans="4:4" ht="12.75" customHeight="1">
      <c r="D581" s="22"/>
    </row>
    <row r="582" spans="4:4" ht="12.75" customHeight="1">
      <c r="D582" s="22"/>
    </row>
    <row r="583" spans="4:4" ht="12.75" customHeight="1">
      <c r="D583" s="22"/>
    </row>
    <row r="584" spans="4:4" ht="12.75" customHeight="1">
      <c r="D584" s="22"/>
    </row>
    <row r="585" spans="4:4" ht="12.75" customHeight="1">
      <c r="D585" s="22"/>
    </row>
    <row r="586" spans="4:4" ht="12.75" customHeight="1">
      <c r="D586" s="22"/>
    </row>
    <row r="587" spans="4:4" ht="12.75" customHeight="1">
      <c r="D587" s="22"/>
    </row>
    <row r="588" spans="4:4" ht="12.75" customHeight="1">
      <c r="D588" s="22"/>
    </row>
    <row r="589" spans="4:4" ht="12.75" customHeight="1">
      <c r="D589" s="22"/>
    </row>
    <row r="590" spans="4:4" ht="12.75" customHeight="1">
      <c r="D590" s="22"/>
    </row>
    <row r="591" spans="4:4" ht="12.75" customHeight="1">
      <c r="D591" s="22"/>
    </row>
    <row r="592" spans="4:4" ht="12.75" customHeight="1">
      <c r="D592" s="22"/>
    </row>
    <row r="593" spans="4:4" ht="12.75" customHeight="1">
      <c r="D593" s="22"/>
    </row>
    <row r="594" spans="4:4" ht="12.75" customHeight="1">
      <c r="D594" s="22"/>
    </row>
    <row r="595" spans="4:4" ht="12.75" customHeight="1">
      <c r="D595" s="22"/>
    </row>
    <row r="596" spans="4:4" ht="12.75" customHeight="1">
      <c r="D596" s="22"/>
    </row>
    <row r="597" spans="4:4" ht="12.75" customHeight="1">
      <c r="D597" s="22"/>
    </row>
    <row r="598" spans="4:4" ht="12.75" customHeight="1">
      <c r="D598" s="22"/>
    </row>
    <row r="599" spans="4:4" ht="12.75" customHeight="1">
      <c r="D599" s="22"/>
    </row>
    <row r="600" spans="4:4" ht="12.75" customHeight="1">
      <c r="D600" s="22"/>
    </row>
    <row r="601" spans="4:4" ht="12.75" customHeight="1">
      <c r="D601" s="22"/>
    </row>
    <row r="602" spans="4:4" ht="12.75" customHeight="1">
      <c r="D602" s="22"/>
    </row>
    <row r="603" spans="4:4" ht="12.75" customHeight="1">
      <c r="D603" s="22"/>
    </row>
    <row r="604" spans="4:4" ht="12.75" customHeight="1">
      <c r="D604" s="22"/>
    </row>
    <row r="605" spans="4:4" ht="12.75" customHeight="1">
      <c r="D605" s="22"/>
    </row>
    <row r="606" spans="4:4" ht="12.75" customHeight="1">
      <c r="D606" s="22"/>
    </row>
    <row r="607" spans="4:4" ht="12.75" customHeight="1">
      <c r="D607" s="22"/>
    </row>
    <row r="608" spans="4:4" ht="12.75" customHeight="1">
      <c r="D608" s="22"/>
    </row>
    <row r="609" spans="4:4" ht="12.75" customHeight="1">
      <c r="D609" s="22"/>
    </row>
    <row r="610" spans="4:4" ht="12.75" customHeight="1">
      <c r="D610" s="22"/>
    </row>
    <row r="611" spans="4:4" ht="12.75" customHeight="1">
      <c r="D611" s="22"/>
    </row>
    <row r="612" spans="4:4" ht="12.75" customHeight="1">
      <c r="D612" s="22"/>
    </row>
    <row r="613" spans="4:4" ht="12.75" customHeight="1">
      <c r="D613" s="22"/>
    </row>
    <row r="614" spans="4:4" ht="12.75" customHeight="1">
      <c r="D614" s="22"/>
    </row>
    <row r="615" spans="4:4" ht="12.75" customHeight="1">
      <c r="D615" s="22"/>
    </row>
    <row r="616" spans="4:4" ht="12.75" customHeight="1">
      <c r="D616" s="22"/>
    </row>
    <row r="617" spans="4:4" ht="12.75" customHeight="1">
      <c r="D617" s="22"/>
    </row>
    <row r="618" spans="4:4" ht="12.75" customHeight="1">
      <c r="D618" s="22"/>
    </row>
    <row r="619" spans="4:4" ht="12.75" customHeight="1">
      <c r="D619" s="22"/>
    </row>
    <row r="620" spans="4:4" ht="12.75" customHeight="1">
      <c r="D620" s="22"/>
    </row>
    <row r="621" spans="4:4" ht="12.75" customHeight="1">
      <c r="D621" s="22"/>
    </row>
    <row r="622" spans="4:4" ht="12.75" customHeight="1">
      <c r="D622" s="22"/>
    </row>
    <row r="623" spans="4:4" ht="12.75" customHeight="1">
      <c r="D623" s="22"/>
    </row>
    <row r="624" spans="4:4" ht="12.75" customHeight="1">
      <c r="D624" s="22"/>
    </row>
    <row r="625" spans="4:4" ht="12.75" customHeight="1">
      <c r="D625" s="22"/>
    </row>
    <row r="626" spans="4:4" ht="12.75" customHeight="1">
      <c r="D626" s="22"/>
    </row>
    <row r="627" spans="4:4" ht="12.75" customHeight="1">
      <c r="D627" s="22"/>
    </row>
    <row r="628" spans="4:4" ht="12.75" customHeight="1">
      <c r="D628" s="22"/>
    </row>
    <row r="629" spans="4:4" ht="12.75" customHeight="1">
      <c r="D629" s="22"/>
    </row>
    <row r="630" spans="4:4" ht="12.75" customHeight="1">
      <c r="D630" s="22"/>
    </row>
    <row r="631" spans="4:4" ht="12.75" customHeight="1">
      <c r="D631" s="22"/>
    </row>
    <row r="632" spans="4:4" ht="12.75" customHeight="1">
      <c r="D632" s="22"/>
    </row>
    <row r="633" spans="4:4" ht="12.75" customHeight="1">
      <c r="D633" s="22"/>
    </row>
    <row r="634" spans="4:4" ht="12.75" customHeight="1">
      <c r="D634" s="22"/>
    </row>
    <row r="635" spans="4:4" ht="12.75" customHeight="1">
      <c r="D635" s="22"/>
    </row>
    <row r="636" spans="4:4" ht="12.75" customHeight="1">
      <c r="D636" s="22"/>
    </row>
    <row r="637" spans="4:4" ht="12.75" customHeight="1">
      <c r="D637" s="22"/>
    </row>
    <row r="638" spans="4:4" ht="12.75" customHeight="1">
      <c r="D638" s="22"/>
    </row>
    <row r="639" spans="4:4" ht="12.75" customHeight="1">
      <c r="D639" s="22"/>
    </row>
    <row r="640" spans="4:4" ht="12.75" customHeight="1">
      <c r="D640" s="22"/>
    </row>
    <row r="641" spans="4:4" ht="12.75" customHeight="1">
      <c r="D641" s="22"/>
    </row>
    <row r="642" spans="4:4" ht="12.75" customHeight="1">
      <c r="D642" s="22"/>
    </row>
    <row r="643" spans="4:4" ht="12.75" customHeight="1">
      <c r="D643" s="22"/>
    </row>
    <row r="644" spans="4:4" ht="12.75" customHeight="1">
      <c r="D644" s="22"/>
    </row>
    <row r="645" spans="4:4" ht="12.75" customHeight="1">
      <c r="D645" s="22"/>
    </row>
    <row r="646" spans="4:4" ht="12.75" customHeight="1">
      <c r="D646" s="22"/>
    </row>
    <row r="647" spans="4:4" ht="12.75" customHeight="1">
      <c r="D647" s="22"/>
    </row>
    <row r="648" spans="4:4" ht="12.75" customHeight="1">
      <c r="D648" s="22"/>
    </row>
    <row r="649" spans="4:4" ht="12.75" customHeight="1">
      <c r="D649" s="22"/>
    </row>
    <row r="650" spans="4:4" ht="12.75" customHeight="1">
      <c r="D650" s="22"/>
    </row>
    <row r="651" spans="4:4" ht="12.75" customHeight="1">
      <c r="D651" s="22"/>
    </row>
    <row r="652" spans="4:4" ht="12.75" customHeight="1">
      <c r="D652" s="22"/>
    </row>
    <row r="653" spans="4:4" ht="12.75" customHeight="1">
      <c r="D653" s="22"/>
    </row>
    <row r="654" spans="4:4" ht="12.75" customHeight="1">
      <c r="D654" s="22"/>
    </row>
    <row r="655" spans="4:4" ht="12.75" customHeight="1">
      <c r="D655" s="22"/>
    </row>
    <row r="656" spans="4:4" ht="12.75" customHeight="1">
      <c r="D656" s="22"/>
    </row>
    <row r="657" spans="4:4" ht="12.75" customHeight="1">
      <c r="D657" s="22"/>
    </row>
    <row r="658" spans="4:4" ht="12.75" customHeight="1">
      <c r="D658" s="22"/>
    </row>
    <row r="659" spans="4:4" ht="12.75" customHeight="1">
      <c r="D659" s="22"/>
    </row>
    <row r="660" spans="4:4" ht="12.75" customHeight="1">
      <c r="D660" s="22"/>
    </row>
    <row r="661" spans="4:4" ht="12.75" customHeight="1">
      <c r="D661" s="22"/>
    </row>
    <row r="662" spans="4:4" ht="12.75" customHeight="1">
      <c r="D662" s="22"/>
    </row>
    <row r="663" spans="4:4" ht="12.75" customHeight="1">
      <c r="D663" s="22"/>
    </row>
    <row r="664" spans="4:4" ht="12.75" customHeight="1">
      <c r="D664" s="22"/>
    </row>
    <row r="665" spans="4:4" ht="12.75" customHeight="1">
      <c r="D665" s="22"/>
    </row>
    <row r="666" spans="4:4" ht="12.75" customHeight="1">
      <c r="D666" s="22"/>
    </row>
    <row r="667" spans="4:4" ht="12.75" customHeight="1">
      <c r="D667" s="22"/>
    </row>
    <row r="668" spans="4:4" ht="12.75" customHeight="1">
      <c r="D668" s="22"/>
    </row>
    <row r="669" spans="4:4" ht="12.75" customHeight="1">
      <c r="D669" s="22"/>
    </row>
    <row r="670" spans="4:4" ht="12.75" customHeight="1">
      <c r="D670" s="22"/>
    </row>
    <row r="671" spans="4:4" ht="12.75" customHeight="1">
      <c r="D671" s="22"/>
    </row>
    <row r="672" spans="4:4" ht="12.75" customHeight="1">
      <c r="D672" s="22"/>
    </row>
    <row r="673" spans="4:4" ht="12.75" customHeight="1">
      <c r="D673" s="22"/>
    </row>
    <row r="674" spans="4:4" ht="12.75" customHeight="1">
      <c r="D674" s="22"/>
    </row>
    <row r="675" spans="4:4" ht="12.75" customHeight="1">
      <c r="D675" s="22"/>
    </row>
    <row r="676" spans="4:4" ht="12.75" customHeight="1">
      <c r="D676" s="22"/>
    </row>
    <row r="677" spans="4:4" ht="12.75" customHeight="1">
      <c r="D677" s="22"/>
    </row>
    <row r="678" spans="4:4" ht="12.75" customHeight="1">
      <c r="D678" s="22"/>
    </row>
    <row r="679" spans="4:4" ht="12.75" customHeight="1">
      <c r="D679" s="22"/>
    </row>
    <row r="680" spans="4:4" ht="12.75" customHeight="1">
      <c r="D680" s="22"/>
    </row>
    <row r="681" spans="4:4" ht="12.75" customHeight="1">
      <c r="D681" s="22"/>
    </row>
    <row r="682" spans="4:4" ht="12.75" customHeight="1">
      <c r="D682" s="22"/>
    </row>
    <row r="683" spans="4:4" ht="12.75" customHeight="1">
      <c r="D683" s="22"/>
    </row>
    <row r="684" spans="4:4" ht="12.75" customHeight="1">
      <c r="D684" s="22"/>
    </row>
    <row r="685" spans="4:4" ht="12.75" customHeight="1">
      <c r="D685" s="22"/>
    </row>
    <row r="686" spans="4:4" ht="12.75" customHeight="1">
      <c r="D686" s="22"/>
    </row>
    <row r="687" spans="4:4" ht="12.75" customHeight="1">
      <c r="D687" s="22"/>
    </row>
    <row r="688" spans="4:4" ht="12.75" customHeight="1">
      <c r="D688" s="22"/>
    </row>
    <row r="689" spans="4:4" ht="12.75" customHeight="1">
      <c r="D689" s="22"/>
    </row>
    <row r="690" spans="4:4" ht="12.75" customHeight="1">
      <c r="D690" s="22"/>
    </row>
    <row r="691" spans="4:4" ht="12.75" customHeight="1">
      <c r="D691" s="22"/>
    </row>
    <row r="692" spans="4:4" ht="12.75" customHeight="1">
      <c r="D692" s="22"/>
    </row>
    <row r="693" spans="4:4" ht="12.75" customHeight="1">
      <c r="D693" s="22"/>
    </row>
    <row r="694" spans="4:4" ht="12.75" customHeight="1">
      <c r="D694" s="22"/>
    </row>
    <row r="695" spans="4:4" ht="12.75" customHeight="1">
      <c r="D695" s="22"/>
    </row>
    <row r="696" spans="4:4" ht="12.75" customHeight="1">
      <c r="D696" s="22"/>
    </row>
    <row r="697" spans="4:4" ht="12.75" customHeight="1">
      <c r="D697" s="22"/>
    </row>
    <row r="698" spans="4:4" ht="12.75" customHeight="1">
      <c r="D698" s="22"/>
    </row>
    <row r="699" spans="4:4" ht="12.75" customHeight="1">
      <c r="D699" s="22"/>
    </row>
    <row r="700" spans="4:4" ht="12.75" customHeight="1">
      <c r="D700" s="22"/>
    </row>
    <row r="701" spans="4:4" ht="12.75" customHeight="1">
      <c r="D701" s="22"/>
    </row>
    <row r="702" spans="4:4" ht="12.75" customHeight="1">
      <c r="D702" s="22"/>
    </row>
    <row r="703" spans="4:4" ht="12.75" customHeight="1">
      <c r="D703" s="22"/>
    </row>
    <row r="704" spans="4:4" ht="12.75" customHeight="1">
      <c r="D704" s="22"/>
    </row>
    <row r="705" spans="4:4" ht="12.75" customHeight="1">
      <c r="D705" s="22"/>
    </row>
    <row r="706" spans="4:4" ht="12.75" customHeight="1">
      <c r="D706" s="22"/>
    </row>
    <row r="707" spans="4:4" ht="12.75" customHeight="1">
      <c r="D707" s="22"/>
    </row>
    <row r="708" spans="4:4" ht="12.75" customHeight="1">
      <c r="D708" s="22"/>
    </row>
    <row r="709" spans="4:4" ht="12.75" customHeight="1">
      <c r="D709" s="22"/>
    </row>
    <row r="710" spans="4:4" ht="12.75" customHeight="1">
      <c r="D710" s="22"/>
    </row>
    <row r="711" spans="4:4" ht="12.75" customHeight="1">
      <c r="D711" s="22"/>
    </row>
    <row r="712" spans="4:4" ht="12.75" customHeight="1">
      <c r="D712" s="22"/>
    </row>
    <row r="713" spans="4:4" ht="12.75" customHeight="1">
      <c r="D713" s="22"/>
    </row>
    <row r="714" spans="4:4" ht="12.75" customHeight="1">
      <c r="D714" s="22"/>
    </row>
    <row r="715" spans="4:4" ht="12.75" customHeight="1">
      <c r="D715" s="22"/>
    </row>
    <row r="716" spans="4:4" ht="12.75" customHeight="1">
      <c r="D716" s="22"/>
    </row>
    <row r="717" spans="4:4" ht="12.75" customHeight="1">
      <c r="D717" s="22"/>
    </row>
    <row r="718" spans="4:4" ht="12.75" customHeight="1">
      <c r="D718" s="22"/>
    </row>
    <row r="719" spans="4:4" ht="12.75" customHeight="1">
      <c r="D719" s="22"/>
    </row>
    <row r="720" spans="4:4" ht="12.75" customHeight="1">
      <c r="D720" s="22"/>
    </row>
    <row r="721" spans="4:4" ht="12.75" customHeight="1">
      <c r="D721" s="22"/>
    </row>
    <row r="722" spans="4:4" ht="12.75" customHeight="1">
      <c r="D722" s="22"/>
    </row>
    <row r="723" spans="4:4" ht="12.75" customHeight="1">
      <c r="D723" s="22"/>
    </row>
    <row r="724" spans="4:4" ht="12.75" customHeight="1">
      <c r="D724" s="22"/>
    </row>
    <row r="725" spans="4:4" ht="12.75" customHeight="1">
      <c r="D725" s="22"/>
    </row>
    <row r="726" spans="4:4" ht="12.75" customHeight="1">
      <c r="D726" s="22"/>
    </row>
    <row r="727" spans="4:4" ht="12.75" customHeight="1">
      <c r="D727" s="22"/>
    </row>
    <row r="728" spans="4:4" ht="12.75" customHeight="1">
      <c r="D728" s="22"/>
    </row>
    <row r="729" spans="4:4" ht="12.75" customHeight="1">
      <c r="D729" s="22"/>
    </row>
    <row r="730" spans="4:4" ht="12.75" customHeight="1">
      <c r="D730" s="22"/>
    </row>
    <row r="731" spans="4:4" ht="12.75" customHeight="1">
      <c r="D731" s="22"/>
    </row>
    <row r="732" spans="4:4" ht="12.75" customHeight="1">
      <c r="D732" s="22"/>
    </row>
    <row r="733" spans="4:4" ht="12.75" customHeight="1">
      <c r="D733" s="22"/>
    </row>
    <row r="734" spans="4:4" ht="12.75" customHeight="1">
      <c r="D734" s="22"/>
    </row>
    <row r="735" spans="4:4" ht="12.75" customHeight="1">
      <c r="D735" s="22"/>
    </row>
    <row r="736" spans="4:4" ht="12.75" customHeight="1">
      <c r="D736" s="22"/>
    </row>
    <row r="737" spans="4:4" ht="12.75" customHeight="1">
      <c r="D737" s="22"/>
    </row>
    <row r="738" spans="4:4" ht="12.75" customHeight="1">
      <c r="D738" s="22"/>
    </row>
    <row r="739" spans="4:4" ht="12.75" customHeight="1">
      <c r="D739" s="22"/>
    </row>
    <row r="740" spans="4:4" ht="12.75" customHeight="1">
      <c r="D740" s="22"/>
    </row>
    <row r="741" spans="4:4" ht="12.75" customHeight="1">
      <c r="D741" s="22"/>
    </row>
    <row r="742" spans="4:4" ht="12.75" customHeight="1">
      <c r="D742" s="22"/>
    </row>
    <row r="743" spans="4:4" ht="12.75" customHeight="1">
      <c r="D743" s="22"/>
    </row>
    <row r="744" spans="4:4" ht="12.75" customHeight="1">
      <c r="D744" s="22"/>
    </row>
    <row r="745" spans="4:4" ht="12.75" customHeight="1">
      <c r="D745" s="22"/>
    </row>
    <row r="746" spans="4:4" ht="12.75" customHeight="1">
      <c r="D746" s="22"/>
    </row>
    <row r="747" spans="4:4" ht="12.75" customHeight="1">
      <c r="D747" s="22"/>
    </row>
    <row r="748" spans="4:4" ht="12.75" customHeight="1">
      <c r="D748" s="22"/>
    </row>
    <row r="749" spans="4:4" ht="12.75" customHeight="1">
      <c r="D749" s="22"/>
    </row>
    <row r="750" spans="4:4" ht="12.75" customHeight="1">
      <c r="D750" s="22"/>
    </row>
    <row r="751" spans="4:4" ht="12.75" customHeight="1">
      <c r="D751" s="22"/>
    </row>
    <row r="752" spans="4:4" ht="12.75" customHeight="1">
      <c r="D752" s="22"/>
    </row>
    <row r="753" spans="4:4" ht="12.75" customHeight="1">
      <c r="D753" s="22"/>
    </row>
    <row r="754" spans="4:4" ht="12.75" customHeight="1">
      <c r="D754" s="22"/>
    </row>
    <row r="755" spans="4:4" ht="12.75" customHeight="1">
      <c r="D755" s="22"/>
    </row>
    <row r="756" spans="4:4" ht="12.75" customHeight="1">
      <c r="D756" s="22"/>
    </row>
    <row r="757" spans="4:4" ht="12.75" customHeight="1">
      <c r="D757" s="22"/>
    </row>
    <row r="758" spans="4:4" ht="12.75" customHeight="1">
      <c r="D758" s="22"/>
    </row>
    <row r="759" spans="4:4" ht="12.75" customHeight="1">
      <c r="D759" s="22"/>
    </row>
    <row r="760" spans="4:4" ht="12.75" customHeight="1">
      <c r="D760" s="22"/>
    </row>
    <row r="761" spans="4:4" ht="12.75" customHeight="1">
      <c r="D761" s="22"/>
    </row>
    <row r="762" spans="4:4" ht="12.75" customHeight="1">
      <c r="D762" s="22"/>
    </row>
    <row r="763" spans="4:4" ht="12.75" customHeight="1">
      <c r="D763" s="22"/>
    </row>
    <row r="764" spans="4:4" ht="12.75" customHeight="1">
      <c r="D764" s="22"/>
    </row>
    <row r="765" spans="4:4" ht="12.75" customHeight="1">
      <c r="D765" s="22"/>
    </row>
    <row r="766" spans="4:4" ht="12.75" customHeight="1">
      <c r="D766" s="22"/>
    </row>
    <row r="767" spans="4:4" ht="12.75" customHeight="1">
      <c r="D767" s="22"/>
    </row>
    <row r="768" spans="4:4" ht="12.75" customHeight="1">
      <c r="D768" s="22"/>
    </row>
    <row r="769" spans="4:4" ht="12.75" customHeight="1">
      <c r="D769" s="22"/>
    </row>
    <row r="770" spans="4:4" ht="12.75" customHeight="1">
      <c r="D770" s="22"/>
    </row>
    <row r="771" spans="4:4" ht="12.75" customHeight="1">
      <c r="D771" s="22"/>
    </row>
    <row r="772" spans="4:4" ht="12.75" customHeight="1">
      <c r="D772" s="22"/>
    </row>
    <row r="773" spans="4:4" ht="12.75" customHeight="1">
      <c r="D773" s="22"/>
    </row>
    <row r="774" spans="4:4" ht="12.75" customHeight="1">
      <c r="D774" s="22"/>
    </row>
    <row r="775" spans="4:4" ht="12.75" customHeight="1">
      <c r="D775" s="22"/>
    </row>
    <row r="776" spans="4:4" ht="12.75" customHeight="1">
      <c r="D776" s="22"/>
    </row>
    <row r="777" spans="4:4" ht="12.75" customHeight="1">
      <c r="D777" s="22"/>
    </row>
    <row r="778" spans="4:4" ht="12.75" customHeight="1">
      <c r="D778" s="22"/>
    </row>
    <row r="779" spans="4:4" ht="12.75" customHeight="1">
      <c r="D779" s="22"/>
    </row>
    <row r="780" spans="4:4" ht="12.75" customHeight="1">
      <c r="D780" s="22"/>
    </row>
    <row r="781" spans="4:4" ht="12.75" customHeight="1">
      <c r="D781" s="22"/>
    </row>
    <row r="782" spans="4:4" ht="12.75" customHeight="1">
      <c r="D782" s="22"/>
    </row>
    <row r="783" spans="4:4" ht="12.75" customHeight="1">
      <c r="D783" s="22"/>
    </row>
    <row r="784" spans="4:4" ht="12.75" customHeight="1">
      <c r="D784" s="22"/>
    </row>
    <row r="785" spans="4:4" ht="12.75" customHeight="1">
      <c r="D785" s="22"/>
    </row>
    <row r="786" spans="4:4" ht="12.75" customHeight="1">
      <c r="D786" s="22"/>
    </row>
    <row r="787" spans="4:4" ht="12.75" customHeight="1">
      <c r="D787" s="22"/>
    </row>
    <row r="788" spans="4:4" ht="12.75" customHeight="1">
      <c r="D788" s="22"/>
    </row>
    <row r="789" spans="4:4" ht="12.75" customHeight="1">
      <c r="D789" s="22"/>
    </row>
    <row r="790" spans="4:4" ht="12.75" customHeight="1">
      <c r="D790" s="22"/>
    </row>
    <row r="791" spans="4:4" ht="12.75" customHeight="1">
      <c r="D791" s="22"/>
    </row>
    <row r="792" spans="4:4" ht="12.75" customHeight="1">
      <c r="D792" s="22"/>
    </row>
    <row r="793" spans="4:4" ht="12.75" customHeight="1">
      <c r="D793" s="22"/>
    </row>
    <row r="794" spans="4:4" ht="12.75" customHeight="1">
      <c r="D794" s="22"/>
    </row>
    <row r="795" spans="4:4" ht="12.75" customHeight="1">
      <c r="D795" s="22"/>
    </row>
    <row r="796" spans="4:4" ht="12.75" customHeight="1">
      <c r="D796" s="22"/>
    </row>
    <row r="797" spans="4:4" ht="12.75" customHeight="1">
      <c r="D797" s="22"/>
    </row>
    <row r="798" spans="4:4" ht="12.75" customHeight="1">
      <c r="D798" s="22"/>
    </row>
    <row r="799" spans="4:4" ht="12.75" customHeight="1">
      <c r="D799" s="22"/>
    </row>
    <row r="800" spans="4:4" ht="12.75" customHeight="1">
      <c r="D800" s="22"/>
    </row>
    <row r="801" spans="4:4" ht="12.75" customHeight="1">
      <c r="D801" s="22"/>
    </row>
    <row r="802" spans="4:4" ht="12.75" customHeight="1">
      <c r="D802" s="22"/>
    </row>
    <row r="803" spans="4:4" ht="12.75" customHeight="1">
      <c r="D803" s="22"/>
    </row>
    <row r="804" spans="4:4" ht="12.75" customHeight="1">
      <c r="D804" s="22"/>
    </row>
    <row r="805" spans="4:4" ht="12.75" customHeight="1">
      <c r="D805" s="22"/>
    </row>
    <row r="806" spans="4:4" ht="12.75" customHeight="1">
      <c r="D806" s="22"/>
    </row>
    <row r="807" spans="4:4" ht="12.75" customHeight="1">
      <c r="D807" s="22"/>
    </row>
    <row r="808" spans="4:4" ht="12.75" customHeight="1">
      <c r="D808" s="22"/>
    </row>
    <row r="809" spans="4:4" ht="12.75" customHeight="1">
      <c r="D809" s="22"/>
    </row>
    <row r="810" spans="4:4" ht="12.75" customHeight="1">
      <c r="D810" s="22"/>
    </row>
    <row r="811" spans="4:4" ht="12.75" customHeight="1">
      <c r="D811" s="22"/>
    </row>
    <row r="812" spans="4:4" ht="12.75" customHeight="1">
      <c r="D812" s="22"/>
    </row>
    <row r="813" spans="4:4" ht="12.75" customHeight="1">
      <c r="D813" s="22"/>
    </row>
    <row r="814" spans="4:4" ht="12.75" customHeight="1">
      <c r="D814" s="22"/>
    </row>
    <row r="815" spans="4:4" ht="12.75" customHeight="1">
      <c r="D815" s="22"/>
    </row>
    <row r="816" spans="4:4" ht="12.75" customHeight="1">
      <c r="D816" s="22"/>
    </row>
    <row r="817" spans="4:4" ht="12.75" customHeight="1">
      <c r="D817" s="22"/>
    </row>
    <row r="818" spans="4:4" ht="12.75" customHeight="1">
      <c r="D818" s="22"/>
    </row>
    <row r="819" spans="4:4" ht="12.75" customHeight="1">
      <c r="D819" s="22"/>
    </row>
    <row r="820" spans="4:4" ht="12.75" customHeight="1">
      <c r="D820" s="22"/>
    </row>
    <row r="821" spans="4:4" ht="12.75" customHeight="1">
      <c r="D821" s="22"/>
    </row>
    <row r="822" spans="4:4" ht="12.75" customHeight="1">
      <c r="D822" s="22"/>
    </row>
    <row r="823" spans="4:4" ht="12.75" customHeight="1">
      <c r="D823" s="22"/>
    </row>
    <row r="824" spans="4:4" ht="12.75" customHeight="1">
      <c r="D824" s="22"/>
    </row>
    <row r="825" spans="4:4" ht="12.75" customHeight="1">
      <c r="D825" s="22"/>
    </row>
    <row r="826" spans="4:4" ht="12.75" customHeight="1">
      <c r="D826" s="22"/>
    </row>
    <row r="827" spans="4:4" ht="12.75" customHeight="1">
      <c r="D827" s="22"/>
    </row>
    <row r="828" spans="4:4" ht="12.75" customHeight="1">
      <c r="D828" s="22"/>
    </row>
    <row r="829" spans="4:4" ht="12.75" customHeight="1">
      <c r="D829" s="22"/>
    </row>
    <row r="830" spans="4:4" ht="12.75" customHeight="1">
      <c r="D830" s="22"/>
    </row>
    <row r="831" spans="4:4" ht="12.75" customHeight="1">
      <c r="D831" s="22"/>
    </row>
    <row r="832" spans="4:4" ht="12.75" customHeight="1">
      <c r="D832" s="22"/>
    </row>
    <row r="833" spans="4:4" ht="12.75" customHeight="1">
      <c r="D833" s="22"/>
    </row>
    <row r="834" spans="4:4" ht="12.75" customHeight="1">
      <c r="D834" s="22"/>
    </row>
    <row r="835" spans="4:4" ht="12.75" customHeight="1">
      <c r="D835" s="22"/>
    </row>
    <row r="836" spans="4:4" ht="12.75" customHeight="1">
      <c r="D836" s="22"/>
    </row>
    <row r="837" spans="4:4" ht="12.75" customHeight="1">
      <c r="D837" s="22"/>
    </row>
    <row r="838" spans="4:4" ht="12.75" customHeight="1">
      <c r="D838" s="22"/>
    </row>
    <row r="839" spans="4:4" ht="12.75" customHeight="1">
      <c r="D839" s="22"/>
    </row>
    <row r="840" spans="4:4" ht="12.75" customHeight="1">
      <c r="D840" s="22"/>
    </row>
    <row r="841" spans="4:4" ht="12.75" customHeight="1">
      <c r="D841" s="22"/>
    </row>
    <row r="842" spans="4:4" ht="12.75" customHeight="1">
      <c r="D842" s="22"/>
    </row>
    <row r="843" spans="4:4" ht="12.75" customHeight="1">
      <c r="D843" s="22"/>
    </row>
    <row r="844" spans="4:4" ht="12.75" customHeight="1">
      <c r="D844" s="22"/>
    </row>
    <row r="845" spans="4:4" ht="12.75" customHeight="1">
      <c r="D845" s="22"/>
    </row>
    <row r="846" spans="4:4" ht="12.75" customHeight="1">
      <c r="D846" s="22"/>
    </row>
    <row r="847" spans="4:4" ht="12.75" customHeight="1">
      <c r="D847" s="22"/>
    </row>
    <row r="848" spans="4:4" ht="12.75" customHeight="1">
      <c r="D848" s="22"/>
    </row>
    <row r="849" spans="4:4" ht="12.75" customHeight="1">
      <c r="D849" s="22"/>
    </row>
    <row r="850" spans="4:4" ht="12.75" customHeight="1">
      <c r="D850" s="22"/>
    </row>
    <row r="851" spans="4:4" ht="12.75" customHeight="1">
      <c r="D851" s="22"/>
    </row>
    <row r="852" spans="4:4" ht="12.75" customHeight="1">
      <c r="D852" s="22"/>
    </row>
    <row r="853" spans="4:4" ht="12.75" customHeight="1">
      <c r="D853" s="22"/>
    </row>
    <row r="854" spans="4:4" ht="12.75" customHeight="1">
      <c r="D854" s="22"/>
    </row>
    <row r="855" spans="4:4" ht="12.75" customHeight="1">
      <c r="D855" s="22"/>
    </row>
    <row r="856" spans="4:4" ht="12.75" customHeight="1">
      <c r="D856" s="22"/>
    </row>
    <row r="857" spans="4:4" ht="12.75" customHeight="1">
      <c r="D857" s="22"/>
    </row>
    <row r="858" spans="4:4" ht="12.75" customHeight="1">
      <c r="D858" s="22"/>
    </row>
    <row r="859" spans="4:4" ht="12.75" customHeight="1">
      <c r="D859" s="22"/>
    </row>
    <row r="860" spans="4:4" ht="12.75" customHeight="1">
      <c r="D860" s="22"/>
    </row>
    <row r="861" spans="4:4" ht="12.75" customHeight="1">
      <c r="D861" s="22"/>
    </row>
    <row r="862" spans="4:4" ht="12.75" customHeight="1">
      <c r="D862" s="22"/>
    </row>
    <row r="863" spans="4:4" ht="12.75" customHeight="1">
      <c r="D863" s="22"/>
    </row>
    <row r="864" spans="4:4" ht="12.75" customHeight="1">
      <c r="D864" s="22"/>
    </row>
    <row r="865" spans="4:4" ht="12.75" customHeight="1">
      <c r="D865" s="22"/>
    </row>
    <row r="866" spans="4:4" ht="12.75" customHeight="1">
      <c r="D866" s="22"/>
    </row>
    <row r="867" spans="4:4" ht="12.75" customHeight="1">
      <c r="D867" s="22"/>
    </row>
    <row r="868" spans="4:4" ht="12.75" customHeight="1">
      <c r="D868" s="22"/>
    </row>
    <row r="869" spans="4:4" ht="12.75" customHeight="1">
      <c r="D869" s="22"/>
    </row>
    <row r="870" spans="4:4" ht="12.75" customHeight="1">
      <c r="D870" s="22"/>
    </row>
    <row r="871" spans="4:4" ht="12.75" customHeight="1">
      <c r="D871" s="22"/>
    </row>
    <row r="872" spans="4:4" ht="12.75" customHeight="1">
      <c r="D872" s="22"/>
    </row>
    <row r="873" spans="4:4" ht="12.75" customHeight="1">
      <c r="D873" s="22"/>
    </row>
    <row r="874" spans="4:4" ht="12.75" customHeight="1">
      <c r="D874" s="22"/>
    </row>
    <row r="875" spans="4:4" ht="12.75" customHeight="1">
      <c r="D875" s="22"/>
    </row>
    <row r="876" spans="4:4" ht="12.75" customHeight="1">
      <c r="D876" s="22"/>
    </row>
    <row r="877" spans="4:4" ht="12.75" customHeight="1">
      <c r="D877" s="22"/>
    </row>
    <row r="878" spans="4:4" ht="12.75" customHeight="1">
      <c r="D878" s="22"/>
    </row>
    <row r="879" spans="4:4" ht="12.75" customHeight="1">
      <c r="D879" s="22"/>
    </row>
    <row r="880" spans="4:4" ht="12.75" customHeight="1">
      <c r="D880" s="22"/>
    </row>
    <row r="881" spans="4:4" ht="12.75" customHeight="1">
      <c r="D881" s="22"/>
    </row>
    <row r="882" spans="4:4" ht="12.75" customHeight="1">
      <c r="D882" s="22"/>
    </row>
    <row r="883" spans="4:4" ht="12.75" customHeight="1">
      <c r="D883" s="22"/>
    </row>
    <row r="884" spans="4:4" ht="12.75" customHeight="1">
      <c r="D884" s="22"/>
    </row>
    <row r="885" spans="4:4" ht="12.75" customHeight="1">
      <c r="D885" s="22"/>
    </row>
    <row r="886" spans="4:4" ht="12.75" customHeight="1">
      <c r="D886" s="22"/>
    </row>
    <row r="887" spans="4:4" ht="12.75" customHeight="1">
      <c r="D887" s="22"/>
    </row>
    <row r="888" spans="4:4" ht="12.75" customHeight="1">
      <c r="D888" s="22"/>
    </row>
    <row r="889" spans="4:4" ht="12.75" customHeight="1">
      <c r="D889" s="22"/>
    </row>
    <row r="890" spans="4:4" ht="12.75" customHeight="1">
      <c r="D890" s="22"/>
    </row>
    <row r="891" spans="4:4" ht="12.75" customHeight="1">
      <c r="D891" s="22"/>
    </row>
    <row r="892" spans="4:4" ht="12.75" customHeight="1">
      <c r="D892" s="22"/>
    </row>
    <row r="893" spans="4:4" ht="12.75" customHeight="1">
      <c r="D893" s="22"/>
    </row>
    <row r="894" spans="4:4" ht="12.75" customHeight="1">
      <c r="D894" s="22"/>
    </row>
    <row r="895" spans="4:4" ht="12.75" customHeight="1">
      <c r="D895" s="22"/>
    </row>
    <row r="896" spans="4:4" ht="12.75" customHeight="1">
      <c r="D896" s="22"/>
    </row>
    <row r="897" spans="4:4" ht="12.75" customHeight="1">
      <c r="D897" s="22"/>
    </row>
    <row r="898" spans="4:4" ht="12.75" customHeight="1">
      <c r="D898" s="22"/>
    </row>
    <row r="899" spans="4:4" ht="12.75" customHeight="1">
      <c r="D899" s="22"/>
    </row>
    <row r="900" spans="4:4" ht="12.75" customHeight="1">
      <c r="D900" s="22"/>
    </row>
    <row r="901" spans="4:4" ht="12.75" customHeight="1">
      <c r="D901" s="22"/>
    </row>
    <row r="902" spans="4:4" ht="12.75" customHeight="1">
      <c r="D902" s="22"/>
    </row>
    <row r="903" spans="4:4" ht="12.75" customHeight="1">
      <c r="D903" s="22"/>
    </row>
    <row r="904" spans="4:4" ht="12.75" customHeight="1">
      <c r="D904" s="22"/>
    </row>
    <row r="905" spans="4:4" ht="12.75" customHeight="1">
      <c r="D905" s="22"/>
    </row>
    <row r="906" spans="4:4" ht="12.75" customHeight="1">
      <c r="D906" s="22"/>
    </row>
    <row r="907" spans="4:4" ht="12.75" customHeight="1">
      <c r="D907" s="22"/>
    </row>
    <row r="908" spans="4:4" ht="12.75" customHeight="1">
      <c r="D908" s="22"/>
    </row>
    <row r="909" spans="4:4" ht="12.75" customHeight="1">
      <c r="D909" s="22"/>
    </row>
    <row r="910" spans="4:4" ht="12.75" customHeight="1">
      <c r="D910" s="22"/>
    </row>
    <row r="911" spans="4:4" ht="12.75" customHeight="1">
      <c r="D911" s="22"/>
    </row>
    <row r="912" spans="4:4" ht="12.75" customHeight="1">
      <c r="D912" s="22"/>
    </row>
    <row r="913" spans="4:4" ht="12.75" customHeight="1">
      <c r="D913" s="22"/>
    </row>
    <row r="914" spans="4:4" ht="12.75" customHeight="1">
      <c r="D914" s="22"/>
    </row>
    <row r="915" spans="4:4" ht="12.75" customHeight="1">
      <c r="D915" s="22"/>
    </row>
    <row r="916" spans="4:4" ht="12.75" customHeight="1">
      <c r="D916" s="22"/>
    </row>
    <row r="917" spans="4:4" ht="12.75" customHeight="1">
      <c r="D917" s="22"/>
    </row>
    <row r="918" spans="4:4" ht="12.75" customHeight="1">
      <c r="D918" s="22"/>
    </row>
    <row r="919" spans="4:4" ht="12.75" customHeight="1">
      <c r="D919" s="22"/>
    </row>
    <row r="920" spans="4:4" ht="12.75" customHeight="1">
      <c r="D920" s="22"/>
    </row>
    <row r="921" spans="4:4" ht="12.75" customHeight="1">
      <c r="D921" s="22"/>
    </row>
    <row r="922" spans="4:4" ht="12.75" customHeight="1">
      <c r="D922" s="22"/>
    </row>
    <row r="923" spans="4:4" ht="12.75" customHeight="1">
      <c r="D923" s="22"/>
    </row>
    <row r="924" spans="4:4" ht="12.75" customHeight="1">
      <c r="D924" s="22"/>
    </row>
    <row r="925" spans="4:4" ht="12.75" customHeight="1">
      <c r="D925" s="22"/>
    </row>
    <row r="926" spans="4:4" ht="12.75" customHeight="1">
      <c r="D926" s="22"/>
    </row>
    <row r="927" spans="4:4" ht="12.75" customHeight="1">
      <c r="D927" s="22"/>
    </row>
    <row r="928" spans="4:4" ht="12.75" customHeight="1">
      <c r="D928" s="22"/>
    </row>
    <row r="929" spans="4:4" ht="12.75" customHeight="1">
      <c r="D929" s="22"/>
    </row>
    <row r="930" spans="4:4" ht="12.75" customHeight="1">
      <c r="D930" s="22"/>
    </row>
    <row r="931" spans="4:4" ht="12.75" customHeight="1">
      <c r="D931" s="22"/>
    </row>
    <row r="932" spans="4:4" ht="12.75" customHeight="1">
      <c r="D932" s="22"/>
    </row>
    <row r="933" spans="4:4" ht="12.75" customHeight="1">
      <c r="D933" s="22"/>
    </row>
    <row r="934" spans="4:4" ht="12.75" customHeight="1">
      <c r="D934" s="22"/>
    </row>
    <row r="935" spans="4:4" ht="12.75" customHeight="1">
      <c r="D935" s="22"/>
    </row>
    <row r="936" spans="4:4" ht="12.75" customHeight="1">
      <c r="D936" s="22"/>
    </row>
    <row r="937" spans="4:4" ht="12.75" customHeight="1">
      <c r="D937" s="22"/>
    </row>
    <row r="938" spans="4:4" ht="12.75" customHeight="1">
      <c r="D938" s="22"/>
    </row>
    <row r="939" spans="4:4" ht="12.75" customHeight="1">
      <c r="D939" s="22"/>
    </row>
    <row r="940" spans="4:4" ht="12.75" customHeight="1">
      <c r="D940" s="22"/>
    </row>
    <row r="941" spans="4:4" ht="12.75" customHeight="1">
      <c r="D941" s="22"/>
    </row>
    <row r="942" spans="4:4" ht="12.75" customHeight="1">
      <c r="D942" s="22"/>
    </row>
    <row r="943" spans="4:4" ht="12.75" customHeight="1">
      <c r="D943" s="22"/>
    </row>
    <row r="944" spans="4:4" ht="12.75" customHeight="1">
      <c r="D944" s="22"/>
    </row>
    <row r="945" spans="4:4" ht="12.75" customHeight="1">
      <c r="D945" s="22"/>
    </row>
    <row r="946" spans="4:4" ht="12.75" customHeight="1">
      <c r="D946" s="22"/>
    </row>
    <row r="947" spans="4:4" ht="12.75" customHeight="1">
      <c r="D947" s="22"/>
    </row>
    <row r="948" spans="4:4" ht="12.75" customHeight="1">
      <c r="D948" s="22"/>
    </row>
    <row r="949" spans="4:4" ht="12.75" customHeight="1">
      <c r="D949" s="22"/>
    </row>
    <row r="950" spans="4:4" ht="12.75" customHeight="1">
      <c r="D950" s="22"/>
    </row>
    <row r="951" spans="4:4" ht="12.75" customHeight="1">
      <c r="D951" s="22"/>
    </row>
    <row r="952" spans="4:4" ht="12.75" customHeight="1">
      <c r="D952" s="22"/>
    </row>
    <row r="953" spans="4:4" ht="12.75" customHeight="1">
      <c r="D953" s="22"/>
    </row>
    <row r="954" spans="4:4" ht="12.75" customHeight="1">
      <c r="D954" s="22"/>
    </row>
    <row r="955" spans="4:4" ht="12.75" customHeight="1">
      <c r="D955" s="22"/>
    </row>
    <row r="956" spans="4:4" ht="12.75" customHeight="1">
      <c r="D956" s="22"/>
    </row>
    <row r="957" spans="4:4" ht="12.75" customHeight="1">
      <c r="D957" s="22"/>
    </row>
    <row r="958" spans="4:4" ht="12.75" customHeight="1">
      <c r="D958" s="22"/>
    </row>
    <row r="959" spans="4:4" ht="12.75" customHeight="1">
      <c r="D959" s="22"/>
    </row>
    <row r="960" spans="4:4" ht="12.75" customHeight="1">
      <c r="D960" s="22"/>
    </row>
    <row r="961" spans="4:4" ht="12.75" customHeight="1">
      <c r="D961" s="22"/>
    </row>
    <row r="962" spans="4:4" ht="12.75" customHeight="1">
      <c r="D962" s="22"/>
    </row>
    <row r="963" spans="4:4" ht="12.75" customHeight="1">
      <c r="D963" s="22"/>
    </row>
    <row r="964" spans="4:4" ht="12.75" customHeight="1">
      <c r="D964" s="22"/>
    </row>
    <row r="965" spans="4:4" ht="12.75" customHeight="1">
      <c r="D965" s="22"/>
    </row>
    <row r="966" spans="4:4" ht="12.75" customHeight="1">
      <c r="D966" s="22"/>
    </row>
    <row r="967" spans="4:4" ht="12.75" customHeight="1">
      <c r="D967" s="22"/>
    </row>
    <row r="968" spans="4:4" ht="12.75" customHeight="1">
      <c r="D968" s="22"/>
    </row>
    <row r="969" spans="4:4" ht="12.75" customHeight="1">
      <c r="D969" s="22"/>
    </row>
    <row r="970" spans="4:4" ht="12.75" customHeight="1">
      <c r="D970" s="22"/>
    </row>
    <row r="971" spans="4:4" ht="12.75" customHeight="1">
      <c r="D971" s="22"/>
    </row>
    <row r="972" spans="4:4" ht="12.75" customHeight="1">
      <c r="D972" s="22"/>
    </row>
    <row r="973" spans="4:4" ht="12.75" customHeight="1">
      <c r="D973" s="22"/>
    </row>
    <row r="974" spans="4:4" ht="12.75" customHeight="1">
      <c r="D974" s="22"/>
    </row>
    <row r="975" spans="4:4" ht="12.75" customHeight="1">
      <c r="D975" s="22"/>
    </row>
    <row r="976" spans="4:4" ht="12.75" customHeight="1">
      <c r="D976" s="22"/>
    </row>
    <row r="977" spans="4:4" ht="12.75" customHeight="1">
      <c r="D977" s="22"/>
    </row>
    <row r="978" spans="4:4" ht="12.75" customHeight="1">
      <c r="D978" s="22"/>
    </row>
    <row r="979" spans="4:4" ht="12.75" customHeight="1">
      <c r="D979" s="22"/>
    </row>
    <row r="980" spans="4:4" ht="12.75" customHeight="1">
      <c r="D980" s="22"/>
    </row>
    <row r="981" spans="4:4" ht="12.75" customHeight="1">
      <c r="D981" s="22"/>
    </row>
    <row r="982" spans="4:4" ht="12.75" customHeight="1">
      <c r="D982" s="22"/>
    </row>
    <row r="983" spans="4:4" ht="12.75" customHeight="1">
      <c r="D983" s="22"/>
    </row>
    <row r="984" spans="4:4" ht="12.75" customHeight="1">
      <c r="D984" s="22"/>
    </row>
    <row r="985" spans="4:4" ht="12.75" customHeight="1">
      <c r="D985" s="22"/>
    </row>
    <row r="986" spans="4:4" ht="12.75" customHeight="1">
      <c r="D986" s="22"/>
    </row>
    <row r="987" spans="4:4" ht="12.75" customHeight="1">
      <c r="D987" s="22"/>
    </row>
    <row r="988" spans="4:4" ht="12.75" customHeight="1">
      <c r="D988" s="22"/>
    </row>
    <row r="989" spans="4:4" ht="12.75" customHeight="1">
      <c r="D989" s="22"/>
    </row>
    <row r="990" spans="4:4" ht="12.75" customHeight="1">
      <c r="D990" s="22"/>
    </row>
    <row r="991" spans="4:4" ht="12.75" customHeight="1">
      <c r="D991" s="22"/>
    </row>
    <row r="992" spans="4:4" ht="12.75" customHeight="1">
      <c r="D992" s="22"/>
    </row>
    <row r="993" spans="4:4" ht="12.75" customHeight="1">
      <c r="D993" s="22"/>
    </row>
    <row r="994" spans="4:4" ht="12.75" customHeight="1">
      <c r="D994" s="22"/>
    </row>
    <row r="995" spans="4:4" ht="12.75" customHeight="1">
      <c r="D995" s="22"/>
    </row>
    <row r="996" spans="4:4" ht="12.75" customHeight="1">
      <c r="D996" s="22"/>
    </row>
    <row r="997" spans="4:4" ht="12.75" customHeight="1">
      <c r="D997" s="22"/>
    </row>
    <row r="998" spans="4:4" ht="12.75" customHeight="1">
      <c r="D998" s="22"/>
    </row>
    <row r="999" spans="4:4" ht="12.75" customHeight="1">
      <c r="D999" s="22"/>
    </row>
    <row r="1000" spans="4:4" ht="12.75" customHeight="1">
      <c r="D1000" s="22"/>
    </row>
  </sheetData>
  <mergeCells count="6">
    <mergeCell ref="I46:K46"/>
    <mergeCell ref="B2:J2"/>
    <mergeCell ref="B12:F12"/>
    <mergeCell ref="I12:L12"/>
    <mergeCell ref="B37:F37"/>
    <mergeCell ref="I37:L37"/>
  </mergeCells>
  <dataValidations count="7">
    <dataValidation type="list" allowBlank="1" showInputMessage="1" showErrorMessage="1" prompt=" - " sqref="C14">
      <formula1>"Commercial,Residential,Leasehold"</formula1>
    </dataValidation>
    <dataValidation type="list" allowBlank="1" showInputMessage="1" showErrorMessage="1" prompt=" - " sqref="I16:I34">
      <formula1>"Solicitor,Archetect,Surveyor,Engineer,Accountant,Business Support,Finance Arrangement Fees,Finance Marketing,Launch,Other Taxes,Other"</formula1>
    </dataValidation>
    <dataValidation type="list" allowBlank="1" showInputMessage="1" showErrorMessage="1" prompt=" - " sqref="C4">
      <formula1>"England or Northern Ireland,Scotland,Wales"</formula1>
    </dataValidation>
    <dataValidation type="list" allowBlank="1" showInputMessage="1" showErrorMessage="1" prompt=" - " sqref="B15:B34">
      <formula1>"Fixtures and Fittings,Vehicles,Machinery,Equipment,IT"</formula1>
    </dataValidation>
    <dataValidation type="list" allowBlank="1" showInputMessage="1" showErrorMessage="1" prompt=" - " sqref="L35 K16:K34">
      <formula1>"Plus VAT,VAT Exempt,Not registered"</formula1>
    </dataValidation>
    <dataValidation type="list" allowBlank="1" showInputMessage="1" showErrorMessage="1" prompt=" - " sqref="B39:B51">
      <formula1>"Staff Time,Market Research,Research and Development,Other"</formula1>
    </dataValidation>
    <dataValidation type="list" allowBlank="1" showInputMessage="1" showErrorMessage="1" prompt=" - " sqref="D4:D9">
      <formula1>"Land &amp; Buildings,Fixtures and Fittings,Vehicles,Machinery,Equipment,IT"</formula1>
    </dataValidation>
  </dataValidations>
  <pageMargins left="0.39370078740157483" right="0.39370078740157483" top="0.39370078740157483" bottom="0.39370078740157483" header="0" footer="0"/>
  <pageSetup scale="58" orientation="portrait" r:id="rId1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E66"/>
  <sheetViews>
    <sheetView tabSelected="1" workbookViewId="0"/>
  </sheetViews>
  <sheetFormatPr defaultRowHeight="12.75"/>
  <cols>
    <col min="3" max="3" width="16.28515625" customWidth="1"/>
    <col min="5" max="5" width="12.28515625" customWidth="1"/>
    <col min="6" max="6" width="10.42578125" customWidth="1"/>
    <col min="9" max="9" width="11.28515625" bestFit="1" customWidth="1"/>
    <col min="15" max="15" width="9.85546875" customWidth="1"/>
    <col min="19" max="19" width="9.7109375" bestFit="1" customWidth="1"/>
    <col min="22" max="22" width="9.42578125" bestFit="1" customWidth="1"/>
    <col min="45" max="45" width="10.140625" style="472" customWidth="1"/>
  </cols>
  <sheetData>
    <row r="1" spans="1:41" ht="13.5" thickBot="1">
      <c r="A1" s="181"/>
      <c r="B1" s="186" t="s">
        <v>234</v>
      </c>
      <c r="C1" s="187"/>
      <c r="D1" s="188"/>
      <c r="E1" s="146"/>
      <c r="F1" s="146"/>
      <c r="G1" s="146"/>
      <c r="H1" s="146"/>
      <c r="I1" s="182"/>
      <c r="J1" s="182"/>
      <c r="K1" s="182"/>
      <c r="L1" s="183"/>
      <c r="M1" s="182"/>
      <c r="N1" s="146"/>
      <c r="O1" s="146"/>
      <c r="P1" s="146"/>
      <c r="Q1" s="146"/>
      <c r="R1" s="146"/>
      <c r="S1" s="146"/>
      <c r="T1" s="184"/>
      <c r="U1" s="146"/>
      <c r="V1" s="146"/>
      <c r="W1" s="146"/>
      <c r="X1" s="146"/>
      <c r="Y1" s="182"/>
      <c r="Z1" s="182"/>
      <c r="AA1" s="182"/>
      <c r="AB1" s="182"/>
      <c r="AC1" s="146"/>
      <c r="AD1" s="182"/>
      <c r="AE1" s="182"/>
      <c r="AF1" s="182"/>
      <c r="AG1" s="146"/>
      <c r="AH1" s="146"/>
      <c r="AI1" s="146"/>
      <c r="AJ1" s="146"/>
      <c r="AK1" s="146"/>
      <c r="AL1" s="146"/>
      <c r="AM1" s="146"/>
      <c r="AN1" s="146"/>
      <c r="AO1" s="146"/>
    </row>
    <row r="2" spans="1:41" ht="13.5" thickBot="1">
      <c r="A2" s="185"/>
      <c r="B2" s="196" t="s">
        <v>237</v>
      </c>
      <c r="C2" s="197"/>
      <c r="D2" s="198">
        <v>300000</v>
      </c>
      <c r="E2" s="146"/>
      <c r="F2" s="146"/>
      <c r="G2" s="189" t="s">
        <v>235</v>
      </c>
      <c r="H2" s="190"/>
      <c r="I2" s="191">
        <v>1</v>
      </c>
      <c r="J2" s="189" t="s">
        <v>236</v>
      </c>
      <c r="K2" s="190"/>
      <c r="L2" s="191">
        <v>1</v>
      </c>
      <c r="M2" s="439"/>
      <c r="N2" s="439"/>
      <c r="O2" s="439"/>
      <c r="P2" s="439"/>
      <c r="Q2" s="186" t="s">
        <v>224</v>
      </c>
      <c r="R2" s="187"/>
      <c r="S2" s="194">
        <f>SUM(S3:S7)</f>
        <v>4.9999999999999996E-2</v>
      </c>
      <c r="T2" s="606"/>
      <c r="U2" s="439"/>
      <c r="V2" s="608"/>
      <c r="W2" s="439"/>
      <c r="X2" s="146"/>
      <c r="Y2" s="146"/>
      <c r="Z2" s="195"/>
      <c r="AA2" s="182"/>
      <c r="AB2" s="182"/>
      <c r="AC2" s="146"/>
      <c r="AD2" s="182"/>
      <c r="AE2" s="182"/>
      <c r="AF2" s="182"/>
      <c r="AG2" s="146"/>
      <c r="AH2" s="146"/>
      <c r="AI2" s="146"/>
      <c r="AJ2" s="146"/>
      <c r="AK2" s="146"/>
      <c r="AL2" s="146"/>
      <c r="AM2" s="146"/>
      <c r="AN2" s="146"/>
      <c r="AO2" s="146"/>
    </row>
    <row r="3" spans="1:41">
      <c r="A3" s="185"/>
      <c r="B3" s="210" t="s">
        <v>246</v>
      </c>
      <c r="C3" s="146"/>
      <c r="D3" s="415">
        <f>'Start Up Costs'!L13+'Start Up Costs'!L16</f>
        <v>23000</v>
      </c>
      <c r="E3" s="199" t="s">
        <v>238</v>
      </c>
      <c r="F3" s="146"/>
      <c r="G3" s="200" t="s">
        <v>239</v>
      </c>
      <c r="H3" s="201"/>
      <c r="I3" s="202">
        <f>D8*I2</f>
        <v>345650</v>
      </c>
      <c r="J3" s="200" t="s">
        <v>240</v>
      </c>
      <c r="K3" s="203"/>
      <c r="L3" s="198">
        <v>6000</v>
      </c>
      <c r="M3" s="440"/>
      <c r="N3" s="441"/>
      <c r="O3" s="436"/>
      <c r="P3" s="437"/>
      <c r="Q3" s="206" t="s">
        <v>243</v>
      </c>
      <c r="R3" s="207"/>
      <c r="S3" s="208">
        <v>0.02</v>
      </c>
      <c r="T3" s="440"/>
      <c r="U3" s="441"/>
      <c r="V3" s="607"/>
      <c r="W3" s="437"/>
      <c r="X3" s="146"/>
      <c r="Y3" s="146"/>
      <c r="Z3" s="209"/>
      <c r="AA3" s="146"/>
      <c r="AB3" s="146"/>
      <c r="AC3" s="146"/>
      <c r="AD3" s="146"/>
      <c r="AE3" s="182"/>
      <c r="AF3" s="182"/>
      <c r="AG3" s="146"/>
      <c r="AH3" s="146"/>
      <c r="AI3" s="146"/>
      <c r="AJ3" s="146"/>
      <c r="AK3" s="146"/>
      <c r="AL3" s="146"/>
      <c r="AM3" s="146"/>
      <c r="AN3" s="146"/>
      <c r="AO3" s="146"/>
    </row>
    <row r="4" spans="1:41" ht="13.5" thickBot="1">
      <c r="A4" s="185"/>
      <c r="B4" s="216" t="s">
        <v>218</v>
      </c>
      <c r="C4" s="217"/>
      <c r="D4" s="717">
        <v>5000</v>
      </c>
      <c r="E4" s="199" t="s">
        <v>247</v>
      </c>
      <c r="F4" s="146"/>
      <c r="G4" s="211" t="s">
        <v>248</v>
      </c>
      <c r="H4" s="212"/>
      <c r="I4" s="433">
        <f>'Community Shares'!C4</f>
        <v>0.03</v>
      </c>
      <c r="J4" s="213" t="s">
        <v>249</v>
      </c>
      <c r="K4" s="195"/>
      <c r="L4" s="214">
        <v>4.3499999999999996</v>
      </c>
      <c r="M4" s="442"/>
      <c r="N4" s="380"/>
      <c r="O4" s="443"/>
      <c r="P4" s="438"/>
      <c r="Q4" s="206" t="s">
        <v>250</v>
      </c>
      <c r="R4" s="207"/>
      <c r="S4" s="208">
        <v>0.01</v>
      </c>
      <c r="T4" s="442"/>
      <c r="U4" s="380"/>
      <c r="V4" s="607"/>
      <c r="W4" s="438"/>
      <c r="X4" s="146"/>
      <c r="Y4" s="146"/>
      <c r="Z4" s="209"/>
      <c r="AA4" s="146"/>
      <c r="AB4" s="146"/>
      <c r="AC4" s="146"/>
      <c r="AD4" s="146"/>
      <c r="AE4" s="182"/>
      <c r="AF4" s="182"/>
      <c r="AG4" s="146"/>
      <c r="AH4" s="146"/>
      <c r="AI4" s="146"/>
      <c r="AJ4" s="146"/>
      <c r="AK4" s="146"/>
      <c r="AL4" s="146"/>
      <c r="AM4" s="146"/>
      <c r="AN4" s="146"/>
      <c r="AO4" s="146"/>
    </row>
    <row r="5" spans="1:41" ht="13.5" thickBot="1">
      <c r="A5" s="185"/>
      <c r="B5" s="224" t="s">
        <v>253</v>
      </c>
      <c r="C5" s="225"/>
      <c r="D5" s="226">
        <f>SUM(D2:D4)</f>
        <v>328000</v>
      </c>
      <c r="E5" s="199"/>
      <c r="F5" s="146"/>
      <c r="G5" s="218" t="s">
        <v>2</v>
      </c>
      <c r="H5" s="219"/>
      <c r="I5" s="432">
        <f>'General Dashboard'!D4</f>
        <v>2.8000000000000001E-2</v>
      </c>
      <c r="J5" s="220" t="s">
        <v>251</v>
      </c>
      <c r="K5" s="221"/>
      <c r="L5" s="222">
        <v>250</v>
      </c>
      <c r="M5" s="444"/>
      <c r="N5" s="380"/>
      <c r="O5" s="443"/>
      <c r="P5" s="438"/>
      <c r="Q5" s="206" t="s">
        <v>252</v>
      </c>
      <c r="R5" s="207"/>
      <c r="S5" s="223">
        <v>5.0000000000000001E-3</v>
      </c>
      <c r="T5" s="444"/>
      <c r="U5" s="380"/>
      <c r="V5" s="607"/>
      <c r="W5" s="438"/>
      <c r="X5" s="146"/>
      <c r="Y5" s="146"/>
      <c r="Z5" s="209"/>
      <c r="AA5" s="146"/>
      <c r="AB5" s="146"/>
      <c r="AC5" s="146"/>
      <c r="AD5" s="146"/>
      <c r="AE5" s="182"/>
      <c r="AF5" s="182"/>
      <c r="AG5" s="146"/>
      <c r="AH5" s="146"/>
      <c r="AI5" s="146"/>
      <c r="AJ5" s="146"/>
      <c r="AK5" s="146"/>
      <c r="AL5" s="146"/>
      <c r="AM5" s="146"/>
      <c r="AN5" s="146"/>
      <c r="AO5" s="146"/>
    </row>
    <row r="6" spans="1:41" ht="13.5" thickBot="1">
      <c r="A6" s="185"/>
      <c r="B6" s="224" t="s">
        <v>367</v>
      </c>
      <c r="C6" s="225"/>
      <c r="D6" s="231">
        <f>D5*S2</f>
        <v>16400</v>
      </c>
      <c r="E6" s="146"/>
      <c r="F6" s="146"/>
      <c r="G6" s="227" t="s">
        <v>254</v>
      </c>
      <c r="H6" s="228"/>
      <c r="I6" s="431">
        <f>'General Dashboard'!D5</f>
        <v>2.5000000000000001E-2</v>
      </c>
      <c r="J6" s="220" t="s">
        <v>255</v>
      </c>
      <c r="K6" s="229"/>
      <c r="L6" s="230">
        <v>16000</v>
      </c>
      <c r="M6" s="444"/>
      <c r="N6" s="380"/>
      <c r="O6" s="443"/>
      <c r="P6" s="438"/>
      <c r="Q6" s="206" t="s">
        <v>256</v>
      </c>
      <c r="R6" s="207"/>
      <c r="S6" s="223">
        <v>0.01</v>
      </c>
      <c r="T6" s="444"/>
      <c r="U6" s="380"/>
      <c r="V6" s="607"/>
      <c r="W6" s="438"/>
      <c r="X6" s="146"/>
      <c r="Y6" s="146"/>
      <c r="Z6" s="209"/>
      <c r="AA6" s="146"/>
      <c r="AB6" s="146"/>
      <c r="AC6" s="146"/>
      <c r="AD6" s="146"/>
      <c r="AE6" s="182"/>
      <c r="AF6" s="182"/>
      <c r="AG6" s="146"/>
      <c r="AH6" s="146"/>
      <c r="AI6" s="146"/>
      <c r="AJ6" s="146"/>
      <c r="AK6" s="146"/>
      <c r="AL6" s="146"/>
      <c r="AM6" s="146"/>
      <c r="AN6" s="146"/>
      <c r="AO6" s="146"/>
    </row>
    <row r="7" spans="1:41" ht="13.5" thickBot="1">
      <c r="A7" s="185"/>
      <c r="B7" s="224" t="s">
        <v>366</v>
      </c>
      <c r="C7" s="225"/>
      <c r="D7" s="231">
        <f>S13</f>
        <v>1250</v>
      </c>
      <c r="E7" s="184" t="s">
        <v>230</v>
      </c>
      <c r="F7" s="184" t="s">
        <v>257</v>
      </c>
      <c r="G7" s="186" t="s">
        <v>258</v>
      </c>
      <c r="H7" s="232"/>
      <c r="I7" s="454">
        <f>'General Dashboard'!G5</f>
        <v>0.19</v>
      </c>
      <c r="J7" s="186" t="s">
        <v>259</v>
      </c>
      <c r="K7" s="232"/>
      <c r="L7" s="233">
        <v>0.03</v>
      </c>
      <c r="M7" s="445"/>
      <c r="N7" s="380"/>
      <c r="O7" s="446"/>
      <c r="P7" s="438"/>
      <c r="Q7" s="234" t="s">
        <v>260</v>
      </c>
      <c r="R7" s="235"/>
      <c r="S7" s="236">
        <v>5.0000000000000001E-3</v>
      </c>
      <c r="T7" s="445"/>
      <c r="U7" s="380"/>
      <c r="V7" s="441"/>
      <c r="W7" s="438"/>
      <c r="X7" s="146"/>
      <c r="Y7" s="146"/>
      <c r="Z7" s="146"/>
      <c r="AA7" s="182"/>
      <c r="AB7" s="182"/>
      <c r="AC7" s="146"/>
      <c r="AD7" s="182"/>
      <c r="AE7" s="182"/>
      <c r="AF7" s="182"/>
      <c r="AG7" s="146"/>
      <c r="AH7" s="146"/>
      <c r="AI7" s="146"/>
      <c r="AJ7" s="146"/>
      <c r="AK7" s="146"/>
      <c r="AL7" s="146"/>
      <c r="AM7" s="146"/>
      <c r="AN7" s="146"/>
      <c r="AO7" s="146"/>
    </row>
    <row r="8" spans="1:41" ht="13.5" thickBot="1">
      <c r="A8" s="185"/>
      <c r="B8" s="238" t="s">
        <v>261</v>
      </c>
      <c r="C8" s="225"/>
      <c r="D8" s="231">
        <f>SUM(D5:D7)</f>
        <v>345650</v>
      </c>
      <c r="E8" s="423" t="str">
        <f>'Start Up Costs'!C5</f>
        <v>London</v>
      </c>
      <c r="F8" s="239">
        <v>2</v>
      </c>
      <c r="G8" s="452"/>
      <c r="H8" s="392"/>
      <c r="I8" s="453"/>
      <c r="J8" s="186" t="s">
        <v>262</v>
      </c>
      <c r="K8" s="232"/>
      <c r="L8" s="233">
        <v>0.05</v>
      </c>
      <c r="M8" s="449"/>
      <c r="N8" s="380"/>
      <c r="O8" s="446"/>
      <c r="P8" s="438"/>
      <c r="Q8" s="186" t="s">
        <v>263</v>
      </c>
      <c r="R8" s="240"/>
      <c r="S8" s="241"/>
      <c r="T8" s="447"/>
      <c r="U8" s="380"/>
      <c r="V8" s="441"/>
      <c r="W8" s="438"/>
      <c r="X8" s="146"/>
      <c r="Y8" s="146"/>
      <c r="Z8" s="146"/>
      <c r="AA8" s="182"/>
      <c r="AB8" s="182"/>
      <c r="AC8" s="146"/>
      <c r="AD8" s="182"/>
      <c r="AE8" s="182"/>
      <c r="AF8" s="182"/>
      <c r="AG8" s="146"/>
      <c r="AH8" s="146"/>
      <c r="AI8" s="146"/>
      <c r="AJ8" s="146"/>
      <c r="AK8" s="146"/>
      <c r="AL8" s="146"/>
      <c r="AM8" s="146"/>
      <c r="AN8" s="146"/>
      <c r="AO8" s="146"/>
    </row>
    <row r="9" spans="1:41" ht="15.75" thickBot="1">
      <c r="A9" s="185"/>
      <c r="B9" s="211" t="s">
        <v>265</v>
      </c>
      <c r="C9" s="217"/>
      <c r="D9" s="243">
        <f>HLOOKUP(E8,H11:H16,F8+2)*52</f>
        <v>18548.919999999998</v>
      </c>
      <c r="E9" s="244" t="s">
        <v>266</v>
      </c>
      <c r="F9" s="245" t="str">
        <f>"(£"&amp;D10*C23&amp;") pa"</f>
        <v>(£1854.892) pa</v>
      </c>
      <c r="G9" s="246" t="s">
        <v>267</v>
      </c>
      <c r="H9" s="247"/>
      <c r="I9" s="247"/>
      <c r="J9" s="247"/>
      <c r="K9" s="248"/>
      <c r="L9" s="183"/>
      <c r="M9" s="448"/>
      <c r="N9" s="445"/>
      <c r="O9" s="448"/>
      <c r="P9" s="438"/>
      <c r="Q9" s="253" t="s">
        <v>332</v>
      </c>
      <c r="R9" s="146"/>
      <c r="S9" s="208">
        <v>7.0000000000000007E-2</v>
      </c>
      <c r="T9" s="448"/>
      <c r="U9" s="445"/>
      <c r="V9" s="441"/>
      <c r="W9" s="438"/>
      <c r="X9" s="182"/>
      <c r="Y9" s="146"/>
      <c r="Z9" s="146"/>
      <c r="AA9" s="182"/>
      <c r="AB9" s="182"/>
      <c r="AC9" s="146"/>
      <c r="AD9" s="182"/>
      <c r="AE9" s="182"/>
      <c r="AF9" s="182"/>
      <c r="AG9" s="146"/>
      <c r="AH9" s="146"/>
      <c r="AI9" s="146"/>
      <c r="AJ9" s="146"/>
      <c r="AK9" s="146"/>
      <c r="AL9" s="146"/>
      <c r="AM9" s="146"/>
      <c r="AN9" s="146"/>
      <c r="AO9" s="146"/>
    </row>
    <row r="10" spans="1:41" ht="15">
      <c r="A10" s="185"/>
      <c r="B10" s="196" t="s">
        <v>269</v>
      </c>
      <c r="C10" s="197"/>
      <c r="D10" s="254">
        <v>0.1</v>
      </c>
      <c r="E10" s="253" t="s">
        <v>270</v>
      </c>
      <c r="F10" s="255" t="str">
        <f>"(£"&amp;D11*C23&amp;") pa"</f>
        <v>(£927.446) pa</v>
      </c>
      <c r="G10" s="256" t="s">
        <v>271</v>
      </c>
      <c r="H10" s="176"/>
      <c r="I10" s="257" t="s">
        <v>272</v>
      </c>
      <c r="J10" s="176"/>
      <c r="K10" s="258"/>
      <c r="L10" s="183"/>
      <c r="M10" s="439"/>
      <c r="N10" s="439"/>
      <c r="O10" s="439"/>
      <c r="P10" s="439"/>
      <c r="Q10" s="206" t="s">
        <v>250</v>
      </c>
      <c r="R10" s="207"/>
      <c r="S10" s="208">
        <v>0.05</v>
      </c>
      <c r="T10" s="184"/>
      <c r="U10" s="260"/>
      <c r="V10" s="260"/>
      <c r="W10" s="146"/>
      <c r="X10" s="182"/>
      <c r="Y10" s="146"/>
      <c r="Z10" s="261"/>
      <c r="AA10" s="146"/>
      <c r="AB10" s="146"/>
      <c r="AC10" s="146"/>
      <c r="AD10" s="146"/>
      <c r="AE10" s="182"/>
      <c r="AF10" s="182"/>
      <c r="AG10" s="146"/>
      <c r="AH10" s="146"/>
      <c r="AI10" s="146"/>
      <c r="AJ10" s="146"/>
      <c r="AK10" s="146"/>
      <c r="AL10" s="146"/>
      <c r="AM10" s="146"/>
      <c r="AN10" s="146"/>
      <c r="AO10" s="146"/>
    </row>
    <row r="11" spans="1:41" ht="13.5" thickBot="1">
      <c r="A11" s="185"/>
      <c r="B11" s="210" t="s">
        <v>345</v>
      </c>
      <c r="C11" s="146"/>
      <c r="D11" s="262">
        <v>0.05</v>
      </c>
      <c r="E11" s="253" t="s">
        <v>270</v>
      </c>
      <c r="F11" s="255" t="str">
        <f>"(£"&amp;D12*C23&amp;") pa"</f>
        <v>(£1854.892) pa</v>
      </c>
      <c r="G11" s="263"/>
      <c r="H11" s="718" t="s">
        <v>395</v>
      </c>
      <c r="I11" s="719" t="s">
        <v>394</v>
      </c>
      <c r="J11" s="720" t="s">
        <v>396</v>
      </c>
      <c r="K11" s="720"/>
      <c r="L11" s="721"/>
      <c r="M11" s="442"/>
      <c r="N11" s="380"/>
      <c r="O11" s="443"/>
      <c r="P11" s="438"/>
      <c r="Q11" s="234" t="s">
        <v>252</v>
      </c>
      <c r="R11" s="235"/>
      <c r="S11" s="265">
        <v>0.01</v>
      </c>
      <c r="T11" s="184"/>
      <c r="U11" s="260"/>
      <c r="V11" s="260"/>
      <c r="W11" s="146"/>
      <c r="X11" s="146"/>
      <c r="Y11" s="146"/>
      <c r="Z11" s="146"/>
      <c r="AA11" s="182"/>
      <c r="AB11" s="182"/>
      <c r="AC11" s="146"/>
      <c r="AD11" s="182"/>
      <c r="AE11" s="182"/>
      <c r="AF11" s="182"/>
      <c r="AG11" s="146"/>
      <c r="AH11" s="146"/>
      <c r="AI11" s="146"/>
      <c r="AJ11" s="146"/>
      <c r="AK11" s="146"/>
      <c r="AL11" s="146"/>
      <c r="AM11" s="146"/>
      <c r="AN11" s="146"/>
      <c r="AO11" s="146"/>
    </row>
    <row r="12" spans="1:41" ht="13.5" thickBot="1">
      <c r="A12" s="185"/>
      <c r="B12" s="210" t="s">
        <v>344</v>
      </c>
      <c r="C12" s="146"/>
      <c r="D12" s="262">
        <v>0.1</v>
      </c>
      <c r="E12" s="266" t="s">
        <v>266</v>
      </c>
      <c r="F12" s="255" t="str">
        <f>"(£"&amp;D12*C23&amp;") pa"</f>
        <v>(£1854.892) pa</v>
      </c>
      <c r="G12" s="267" t="s">
        <v>257</v>
      </c>
      <c r="H12" s="268" t="s">
        <v>273</v>
      </c>
      <c r="I12" s="269"/>
      <c r="J12" s="270"/>
      <c r="K12" s="271"/>
      <c r="L12" s="183"/>
      <c r="M12" s="439"/>
      <c r="N12" s="439"/>
      <c r="O12" s="439"/>
      <c r="P12" s="439"/>
      <c r="Q12" s="186" t="s">
        <v>327</v>
      </c>
      <c r="R12" s="240"/>
      <c r="S12" s="241"/>
      <c r="T12" s="184"/>
      <c r="U12" s="146"/>
      <c r="V12" s="146" t="s">
        <v>274</v>
      </c>
      <c r="W12" s="146"/>
      <c r="X12" s="182"/>
      <c r="Y12" s="182"/>
      <c r="Z12" s="182"/>
      <c r="AA12" s="182"/>
      <c r="AB12" s="182"/>
      <c r="AC12" s="146"/>
      <c r="AD12" s="182"/>
      <c r="AE12" s="182"/>
      <c r="AF12" s="182"/>
      <c r="AG12" s="146"/>
      <c r="AH12" s="146"/>
      <c r="AI12" s="146"/>
      <c r="AJ12" s="146"/>
      <c r="AK12" s="146"/>
      <c r="AL12" s="146"/>
      <c r="AM12" s="146"/>
      <c r="AN12" s="146"/>
      <c r="AO12" s="146"/>
    </row>
    <row r="13" spans="1:41" ht="13.5" thickBot="1">
      <c r="A13" s="380"/>
      <c r="B13" s="253" t="s">
        <v>275</v>
      </c>
      <c r="C13" s="146"/>
      <c r="D13" s="273">
        <f>S9+S10+S11</f>
        <v>0.13</v>
      </c>
      <c r="E13" s="274" t="s">
        <v>276</v>
      </c>
      <c r="F13" s="275" t="str">
        <f>"(£"&amp;D14*D5&amp;") pa"</f>
        <v>(£1640) pa</v>
      </c>
      <c r="G13" s="267">
        <v>1</v>
      </c>
      <c r="H13" s="276">
        <v>298.14999999999998</v>
      </c>
      <c r="I13" s="277"/>
      <c r="J13" s="278"/>
      <c r="K13" s="279"/>
      <c r="L13" s="183"/>
      <c r="M13" s="440"/>
      <c r="N13" s="441"/>
      <c r="O13" s="436"/>
      <c r="P13" s="437"/>
      <c r="Q13" s="535" t="s">
        <v>240</v>
      </c>
      <c r="R13" s="536"/>
      <c r="S13" s="537">
        <v>1250</v>
      </c>
      <c r="T13" s="282"/>
      <c r="U13" s="146"/>
      <c r="V13" s="146"/>
      <c r="W13" s="146"/>
      <c r="X13" s="283"/>
      <c r="Y13" s="182"/>
      <c r="Z13" s="182"/>
      <c r="AA13" s="182"/>
      <c r="AB13" s="182"/>
      <c r="AC13" s="146"/>
      <c r="AD13" s="182"/>
      <c r="AE13" s="182"/>
      <c r="AF13" s="182"/>
      <c r="AG13" s="146"/>
      <c r="AH13" s="146"/>
      <c r="AI13" s="146"/>
      <c r="AJ13" s="146"/>
      <c r="AK13" s="146"/>
      <c r="AL13" s="146"/>
      <c r="AM13" s="146"/>
      <c r="AN13" s="146"/>
      <c r="AO13" s="146"/>
    </row>
    <row r="14" spans="1:41" ht="13.5" thickBot="1">
      <c r="A14" s="380"/>
      <c r="B14" s="211" t="s">
        <v>277</v>
      </c>
      <c r="C14" s="217"/>
      <c r="D14" s="284">
        <v>5.0000000000000001E-3</v>
      </c>
      <c r="E14" s="274" t="s">
        <v>276</v>
      </c>
      <c r="F14" s="275" t="str">
        <f>"(£"&amp;D15*D5&amp;") pa"</f>
        <v>(£656) pa</v>
      </c>
      <c r="G14" s="267">
        <v>2</v>
      </c>
      <c r="H14" s="276">
        <v>356.71</v>
      </c>
      <c r="I14" s="277"/>
      <c r="J14" s="285"/>
      <c r="K14" s="286"/>
      <c r="L14" s="183"/>
      <c r="M14" s="442"/>
      <c r="N14" s="380"/>
      <c r="O14" s="443"/>
      <c r="P14" s="438"/>
      <c r="Q14" s="450"/>
      <c r="R14" s="451"/>
      <c r="S14" s="438"/>
      <c r="T14" s="184"/>
      <c r="U14" s="146"/>
      <c r="V14" s="260"/>
      <c r="W14" s="146"/>
      <c r="X14" s="146"/>
      <c r="Y14" s="146"/>
      <c r="Z14" s="146"/>
      <c r="AA14" s="182"/>
      <c r="AB14" s="182"/>
      <c r="AC14" s="146"/>
      <c r="AD14" s="182"/>
      <c r="AE14" s="182"/>
      <c r="AF14" s="182"/>
      <c r="AG14" s="146"/>
      <c r="AH14" s="146"/>
      <c r="AI14" s="146"/>
      <c r="AJ14" s="146"/>
      <c r="AK14" s="146"/>
      <c r="AL14" s="146"/>
      <c r="AM14" s="146"/>
      <c r="AN14" s="146"/>
      <c r="AO14" s="146"/>
    </row>
    <row r="15" spans="1:41" ht="13.5" thickBot="1">
      <c r="A15" s="380"/>
      <c r="B15" s="211" t="s">
        <v>278</v>
      </c>
      <c r="C15" s="217"/>
      <c r="D15" s="284">
        <v>2E-3</v>
      </c>
      <c r="E15" s="466"/>
      <c r="F15" s="264"/>
      <c r="G15" s="267">
        <v>3</v>
      </c>
      <c r="H15" s="276">
        <v>448.71</v>
      </c>
      <c r="I15" s="277"/>
      <c r="J15" s="278"/>
      <c r="K15" s="279"/>
      <c r="L15" s="183"/>
      <c r="M15" s="447"/>
      <c r="N15" s="380"/>
      <c r="O15" s="443"/>
      <c r="P15" s="438"/>
      <c r="Q15" s="450"/>
      <c r="R15" s="451"/>
      <c r="S15" s="438"/>
      <c r="T15" s="184"/>
      <c r="U15" s="272"/>
      <c r="V15" s="287"/>
      <c r="W15" s="146"/>
      <c r="X15" s="146"/>
      <c r="Y15" s="146"/>
      <c r="Z15" s="146"/>
      <c r="AA15" s="182"/>
      <c r="AB15" s="182"/>
      <c r="AC15" s="146"/>
      <c r="AD15" s="182"/>
      <c r="AE15" s="182"/>
      <c r="AF15" s="182"/>
      <c r="AG15" s="146"/>
      <c r="AH15" s="146"/>
      <c r="AI15" s="146"/>
      <c r="AJ15" s="146"/>
      <c r="AK15" s="182"/>
      <c r="AL15" s="146"/>
      <c r="AM15" s="146"/>
      <c r="AN15" s="146"/>
      <c r="AO15" s="146"/>
    </row>
    <row r="16" spans="1:41" ht="15.75" thickBot="1">
      <c r="A16" s="380"/>
      <c r="B16" s="211" t="s">
        <v>279</v>
      </c>
      <c r="C16" s="217"/>
      <c r="D16" s="288">
        <v>0.15</v>
      </c>
      <c r="E16" s="455" t="str">
        <f>"£"&amp;D16*D2&amp;" every"</f>
        <v>£45000 every</v>
      </c>
      <c r="F16" s="456">
        <v>10</v>
      </c>
      <c r="G16" s="467">
        <v>4</v>
      </c>
      <c r="H16" s="468">
        <v>604.11</v>
      </c>
      <c r="I16" s="469"/>
      <c r="J16" s="611"/>
      <c r="K16" s="289"/>
      <c r="L16" s="183"/>
      <c r="M16" s="448"/>
      <c r="N16" s="445"/>
      <c r="O16" s="448"/>
      <c r="P16" s="438"/>
      <c r="Q16" s="290" t="s">
        <v>280</v>
      </c>
      <c r="R16" s="146"/>
      <c r="S16" s="146"/>
      <c r="T16" s="184"/>
      <c r="U16" s="291"/>
      <c r="V16" s="146"/>
      <c r="W16" s="146"/>
      <c r="X16" s="146"/>
      <c r="Y16" s="182"/>
      <c r="Z16" s="182"/>
      <c r="AA16" s="182"/>
      <c r="AB16" s="182"/>
      <c r="AC16" s="146"/>
      <c r="AD16" s="182"/>
      <c r="AE16" s="182"/>
      <c r="AF16" s="182"/>
      <c r="AG16" s="146"/>
      <c r="AH16" s="146"/>
      <c r="AI16" s="146"/>
      <c r="AJ16" s="146"/>
      <c r="AK16" s="146"/>
      <c r="AL16" s="146"/>
      <c r="AM16" s="146"/>
      <c r="AN16" s="146"/>
      <c r="AO16" s="146"/>
    </row>
    <row r="17" spans="1:57" ht="15.75" thickBot="1">
      <c r="A17" s="185"/>
      <c r="B17" s="211" t="s">
        <v>281</v>
      </c>
      <c r="C17" s="217"/>
      <c r="D17" s="288">
        <v>0.5</v>
      </c>
      <c r="F17" s="465" t="str">
        <f>"Up to "&amp;D16/F16*100&amp;"%"</f>
        <v>Up to 1.5%</v>
      </c>
      <c r="G17" s="146" t="s">
        <v>282</v>
      </c>
      <c r="H17" s="146"/>
      <c r="I17" s="146"/>
      <c r="J17" s="146"/>
      <c r="K17" s="146"/>
      <c r="L17" s="183"/>
      <c r="M17" s="292" t="s">
        <v>283</v>
      </c>
      <c r="N17" s="146"/>
      <c r="O17" s="146"/>
      <c r="P17" s="146"/>
      <c r="Q17" s="146"/>
      <c r="R17" s="146"/>
      <c r="S17" s="146"/>
      <c r="T17" s="184"/>
      <c r="U17" s="146"/>
      <c r="V17" s="146"/>
      <c r="W17" s="146"/>
      <c r="X17" s="182"/>
      <c r="Y17" s="182"/>
      <c r="Z17" s="146"/>
      <c r="AA17" s="182"/>
      <c r="AB17" s="146"/>
      <c r="AC17" s="146"/>
      <c r="AD17" s="146"/>
      <c r="AE17" s="182"/>
      <c r="AF17" s="182"/>
      <c r="AG17" s="146"/>
      <c r="AH17" s="146"/>
      <c r="AI17" s="146"/>
      <c r="AJ17" s="146"/>
      <c r="AK17" s="146"/>
      <c r="AL17" s="146"/>
      <c r="AM17" s="146"/>
      <c r="AN17" s="146"/>
      <c r="AO17" s="146"/>
    </row>
    <row r="18" spans="1:57" ht="13.5" thickBot="1">
      <c r="A18" s="185"/>
      <c r="B18" s="238" t="s">
        <v>284</v>
      </c>
      <c r="C18" s="225"/>
      <c r="D18" s="293">
        <f>D17</f>
        <v>0.5</v>
      </c>
      <c r="E18" s="146"/>
      <c r="F18" s="146"/>
      <c r="G18" s="146"/>
      <c r="H18" s="146"/>
      <c r="I18" s="182"/>
      <c r="J18" s="182"/>
      <c r="K18" s="146"/>
      <c r="L18" s="183"/>
      <c r="M18" s="182"/>
      <c r="N18" s="146"/>
      <c r="O18" s="146"/>
      <c r="P18" s="146"/>
      <c r="Q18" s="146"/>
      <c r="R18" s="146"/>
      <c r="S18" s="146"/>
      <c r="T18" s="184"/>
      <c r="U18" s="146"/>
      <c r="V18" s="146"/>
      <c r="W18" s="183"/>
      <c r="X18" s="183"/>
      <c r="Y18" s="146"/>
      <c r="Z18" s="183"/>
      <c r="AA18" s="146"/>
      <c r="AB18" s="146"/>
      <c r="AC18" s="146"/>
      <c r="AD18" s="146"/>
      <c r="AE18" s="182"/>
      <c r="AF18" s="182"/>
      <c r="AG18" s="146"/>
      <c r="AH18" s="146"/>
      <c r="AI18" s="146"/>
      <c r="AJ18" s="146"/>
      <c r="AK18" s="146"/>
      <c r="AL18" s="146"/>
      <c r="AM18" s="146"/>
      <c r="AN18" s="146"/>
      <c r="AO18" s="146"/>
    </row>
    <row r="19" spans="1:57" ht="26.25" thickBot="1">
      <c r="A19" s="294" t="s">
        <v>285</v>
      </c>
      <c r="B19" s="295"/>
      <c r="C19" s="296" t="s">
        <v>286</v>
      </c>
      <c r="D19" s="297"/>
      <c r="E19" s="298" t="s">
        <v>287</v>
      </c>
      <c r="F19" s="299"/>
      <c r="G19" s="542"/>
      <c r="H19" s="306" t="s">
        <v>290</v>
      </c>
      <c r="I19" s="308"/>
      <c r="J19" s="308"/>
      <c r="K19" s="308"/>
      <c r="L19" s="308"/>
      <c r="M19" s="309"/>
      <c r="N19" s="309"/>
      <c r="O19" s="490" t="s">
        <v>341</v>
      </c>
      <c r="P19" s="310" t="s">
        <v>291</v>
      </c>
      <c r="Q19" s="311"/>
      <c r="R19" s="312"/>
      <c r="S19" s="573"/>
      <c r="T19" s="573"/>
      <c r="U19" s="574"/>
      <c r="V19" s="300" t="s">
        <v>288</v>
      </c>
      <c r="W19" s="301"/>
      <c r="X19" s="302"/>
      <c r="Y19" s="303"/>
      <c r="Z19" s="304"/>
      <c r="AA19" s="304"/>
      <c r="AB19" s="305"/>
      <c r="AC19" s="306" t="s">
        <v>289</v>
      </c>
      <c r="AD19" s="304"/>
      <c r="AE19" s="304"/>
      <c r="AF19" s="304"/>
      <c r="AG19" s="303"/>
      <c r="AH19" s="307"/>
      <c r="AI19" s="581"/>
      <c r="AJ19" s="582" t="s">
        <v>352</v>
      </c>
      <c r="AK19" s="583"/>
      <c r="AL19" s="584"/>
      <c r="AM19" s="313" t="s">
        <v>357</v>
      </c>
      <c r="AN19" s="314"/>
      <c r="AO19" s="314"/>
      <c r="AP19" s="313" t="s">
        <v>358</v>
      </c>
      <c r="AQ19" s="314"/>
      <c r="AR19" s="314"/>
      <c r="AS19" s="625" t="s">
        <v>292</v>
      </c>
      <c r="AT19" s="315"/>
      <c r="AU19" s="315"/>
      <c r="AV19" s="594"/>
      <c r="AW19" s="315"/>
      <c r="AX19" s="316"/>
      <c r="AY19" s="184"/>
      <c r="AZ19" s="146"/>
      <c r="BA19" s="146"/>
      <c r="BB19" s="146"/>
      <c r="BC19" s="146"/>
      <c r="BD19" s="146"/>
      <c r="BE19" s="146"/>
    </row>
    <row r="20" spans="1:57" ht="68.25" customHeight="1">
      <c r="A20" s="317"/>
      <c r="B20" s="318" t="s">
        <v>293</v>
      </c>
      <c r="C20" s="319" t="s">
        <v>294</v>
      </c>
      <c r="D20" s="320" t="s">
        <v>295</v>
      </c>
      <c r="E20" s="321" t="s">
        <v>296</v>
      </c>
      <c r="F20" s="322" t="s">
        <v>297</v>
      </c>
      <c r="G20" s="344" t="s">
        <v>342</v>
      </c>
      <c r="H20" s="330" t="s">
        <v>308</v>
      </c>
      <c r="I20" s="332" t="s">
        <v>309</v>
      </c>
      <c r="J20" s="330" t="s">
        <v>300</v>
      </c>
      <c r="K20" s="331" t="s">
        <v>301</v>
      </c>
      <c r="L20" s="332" t="s">
        <v>262</v>
      </c>
      <c r="M20" s="333" t="s">
        <v>310</v>
      </c>
      <c r="N20" s="333" t="s">
        <v>349</v>
      </c>
      <c r="O20" s="491" t="s">
        <v>359</v>
      </c>
      <c r="P20" s="334" t="s">
        <v>27</v>
      </c>
      <c r="Q20" s="335" t="s">
        <v>311</v>
      </c>
      <c r="R20" s="566" t="s">
        <v>312</v>
      </c>
      <c r="S20" s="564" t="s">
        <v>354</v>
      </c>
      <c r="T20" s="323" t="s">
        <v>351</v>
      </c>
      <c r="U20" s="575" t="s">
        <v>79</v>
      </c>
      <c r="V20" s="324" t="s">
        <v>356</v>
      </c>
      <c r="W20" s="325" t="s">
        <v>298</v>
      </c>
      <c r="X20" s="325" t="s">
        <v>299</v>
      </c>
      <c r="Y20" s="326" t="s">
        <v>281</v>
      </c>
      <c r="Z20" s="327" t="s">
        <v>300</v>
      </c>
      <c r="AA20" s="328" t="s">
        <v>301</v>
      </c>
      <c r="AB20" s="329" t="s">
        <v>302</v>
      </c>
      <c r="AC20" s="324" t="s">
        <v>303</v>
      </c>
      <c r="AD20" s="325" t="s">
        <v>298</v>
      </c>
      <c r="AE20" s="325" t="s">
        <v>304</v>
      </c>
      <c r="AF20" s="326" t="s">
        <v>305</v>
      </c>
      <c r="AG20" s="330" t="s">
        <v>306</v>
      </c>
      <c r="AH20" s="331" t="s">
        <v>307</v>
      </c>
      <c r="AI20" s="329" t="s">
        <v>368</v>
      </c>
      <c r="AJ20" s="579" t="s">
        <v>355</v>
      </c>
      <c r="AK20" s="580" t="s">
        <v>353</v>
      </c>
      <c r="AL20" s="336" t="s">
        <v>313</v>
      </c>
      <c r="AM20" s="337" t="s">
        <v>314</v>
      </c>
      <c r="AN20" s="338" t="s">
        <v>315</v>
      </c>
      <c r="AO20" s="338" t="s">
        <v>316</v>
      </c>
      <c r="AP20" s="339" t="s">
        <v>346</v>
      </c>
      <c r="AQ20" s="338" t="s">
        <v>347</v>
      </c>
      <c r="AR20" s="340" t="s">
        <v>348</v>
      </c>
      <c r="AS20" s="626" t="s">
        <v>369</v>
      </c>
      <c r="AT20" s="342" t="s">
        <v>318</v>
      </c>
      <c r="AU20" s="343" t="s">
        <v>319</v>
      </c>
      <c r="AV20" s="341" t="s">
        <v>317</v>
      </c>
      <c r="AW20" s="343" t="s">
        <v>320</v>
      </c>
      <c r="AX20" s="344" t="s">
        <v>321</v>
      </c>
      <c r="AY20" s="184"/>
      <c r="AZ20" s="185"/>
      <c r="BA20" s="185"/>
      <c r="BB20" s="185"/>
      <c r="BC20" s="185"/>
      <c r="BD20" s="185"/>
      <c r="BE20" s="185"/>
    </row>
    <row r="21" spans="1:57" ht="13.5" thickBot="1">
      <c r="A21" s="345" t="s">
        <v>177</v>
      </c>
      <c r="B21" s="346"/>
      <c r="C21" s="347"/>
      <c r="D21" s="500"/>
      <c r="E21" s="348"/>
      <c r="F21" s="489">
        <f>L7</f>
        <v>0.03</v>
      </c>
      <c r="G21" s="349"/>
      <c r="H21" s="504">
        <f>D15</f>
        <v>2E-3</v>
      </c>
      <c r="I21" s="501">
        <f>D13</f>
        <v>0.13</v>
      </c>
      <c r="J21" s="544"/>
      <c r="K21" s="502"/>
      <c r="L21" s="501">
        <f>L8</f>
        <v>0.05</v>
      </c>
      <c r="M21" s="502">
        <f>I4</f>
        <v>0.03</v>
      </c>
      <c r="N21" s="502" t="str">
        <f>J4</f>
        <v>Deduction per month</v>
      </c>
      <c r="O21" s="492"/>
      <c r="P21" s="354"/>
      <c r="Q21" s="355"/>
      <c r="R21" s="567"/>
      <c r="S21" s="565"/>
      <c r="T21" s="572"/>
      <c r="U21" s="576">
        <f>D8</f>
        <v>345650</v>
      </c>
      <c r="V21" s="350">
        <f>D10</f>
        <v>0.1</v>
      </c>
      <c r="W21" s="351">
        <f>L7</f>
        <v>0.03</v>
      </c>
      <c r="X21" s="351">
        <f>D14</f>
        <v>5.0000000000000001E-3</v>
      </c>
      <c r="Y21" s="352">
        <f>D17</f>
        <v>0.5</v>
      </c>
      <c r="Z21" s="501"/>
      <c r="AA21" s="502"/>
      <c r="AB21" s="503"/>
      <c r="AC21" s="350">
        <f>D16/F16</f>
        <v>1.4999999999999999E-2</v>
      </c>
      <c r="AD21" s="351">
        <f>L7</f>
        <v>0.03</v>
      </c>
      <c r="AE21" s="353"/>
      <c r="AF21" s="352">
        <f>D18</f>
        <v>0.5</v>
      </c>
      <c r="AG21" s="504"/>
      <c r="AH21" s="502"/>
      <c r="AI21" s="505"/>
      <c r="AJ21" s="506"/>
      <c r="AK21" s="578"/>
      <c r="AL21" s="356"/>
      <c r="AM21" s="507">
        <f>D11</f>
        <v>0.05</v>
      </c>
      <c r="AN21" s="508">
        <f>I4</f>
        <v>0.03</v>
      </c>
      <c r="AO21" s="508"/>
      <c r="AP21" s="509">
        <f>D12</f>
        <v>0.1</v>
      </c>
      <c r="AQ21" s="508">
        <f>I4</f>
        <v>0.03</v>
      </c>
      <c r="AR21" s="510"/>
      <c r="AS21" s="627"/>
      <c r="AT21" s="357"/>
      <c r="AU21" s="358"/>
      <c r="AV21" s="511"/>
      <c r="AW21" s="499"/>
      <c r="AX21" s="359"/>
      <c r="AY21" s="184" t="s">
        <v>177</v>
      </c>
      <c r="AZ21" s="185"/>
      <c r="BA21" s="185"/>
      <c r="BB21" s="185"/>
      <c r="BC21" s="185"/>
      <c r="BD21" s="185"/>
      <c r="BE21" s="185"/>
    </row>
    <row r="22" spans="1:57" s="478" customFormat="1" ht="13.5" thickBot="1">
      <c r="A22" s="512">
        <v>0</v>
      </c>
      <c r="B22" s="534">
        <f>D2</f>
        <v>300000</v>
      </c>
      <c r="C22" s="513"/>
      <c r="D22" s="423"/>
      <c r="E22" s="514"/>
      <c r="F22" s="516"/>
      <c r="G22" s="543"/>
      <c r="H22" s="545"/>
      <c r="I22" s="546"/>
      <c r="J22" s="546"/>
      <c r="K22" s="546"/>
      <c r="L22" s="546"/>
      <c r="M22" s="547"/>
      <c r="N22" s="526"/>
      <c r="O22" s="541">
        <f>D5</f>
        <v>328000</v>
      </c>
      <c r="P22" s="568"/>
      <c r="Q22" s="527"/>
      <c r="R22" s="569"/>
      <c r="S22" s="515"/>
      <c r="T22" s="573"/>
      <c r="U22" s="577">
        <f>U21-O22</f>
        <v>17650</v>
      </c>
      <c r="V22" s="623"/>
      <c r="W22" s="622"/>
      <c r="X22" s="622"/>
      <c r="Y22" s="624"/>
      <c r="Z22" s="520"/>
      <c r="AA22" s="520"/>
      <c r="AB22" s="521"/>
      <c r="AC22" s="517"/>
      <c r="AD22" s="518"/>
      <c r="AE22" s="522"/>
      <c r="AF22" s="519"/>
      <c r="AG22" s="523"/>
      <c r="AH22" s="520"/>
      <c r="AI22" s="524"/>
      <c r="AJ22" s="525"/>
      <c r="AK22" s="525"/>
      <c r="AL22" s="528"/>
      <c r="AM22" s="529"/>
      <c r="AN22" s="530"/>
      <c r="AO22" s="530"/>
      <c r="AP22" s="531"/>
      <c r="AQ22" s="530"/>
      <c r="AR22" s="498"/>
      <c r="AS22" s="628"/>
      <c r="AT22" s="497"/>
      <c r="AU22" s="532"/>
      <c r="AV22" s="538">
        <f>D8</f>
        <v>345650</v>
      </c>
      <c r="AW22" s="496"/>
      <c r="AX22" s="533"/>
      <c r="AY22" s="184"/>
      <c r="AZ22" s="185"/>
      <c r="BA22" s="185"/>
      <c r="BB22" s="185"/>
      <c r="BC22" s="185"/>
      <c r="BD22" s="185"/>
      <c r="BE22" s="185"/>
    </row>
    <row r="23" spans="1:57">
      <c r="A23" s="360">
        <v>1</v>
      </c>
      <c r="B23" s="182">
        <f>B22+D4</f>
        <v>305000</v>
      </c>
      <c r="C23" s="361">
        <f>D9</f>
        <v>18548.919999999998</v>
      </c>
      <c r="D23" s="375">
        <f>AX21</f>
        <v>0</v>
      </c>
      <c r="E23" s="376">
        <f>C23-D23</f>
        <v>18548.919999999998</v>
      </c>
      <c r="F23" s="377">
        <v>0</v>
      </c>
      <c r="G23" s="377">
        <f>E23+F23</f>
        <v>18548.919999999998</v>
      </c>
      <c r="H23" s="365">
        <f t="shared" ref="H23:H62" si="0">B23*$D$15</f>
        <v>610</v>
      </c>
      <c r="I23" s="366">
        <f t="shared" ref="I23:I62" si="1">E23*$D$13</f>
        <v>2411.3595999999998</v>
      </c>
      <c r="J23" s="366">
        <f t="shared" ref="J23:J62" si="2">Z23+AG23</f>
        <v>762.5</v>
      </c>
      <c r="K23" s="366">
        <f t="shared" ref="K23:K62" si="3">AA23+AH23</f>
        <v>0</v>
      </c>
      <c r="L23" s="366">
        <f>IF(U21&lt;0,-U21*$L$21,0)</f>
        <v>0</v>
      </c>
      <c r="M23" s="369">
        <f t="shared" ref="M23:M62" si="4">AV21*$M$21</f>
        <v>0</v>
      </c>
      <c r="N23" s="369">
        <f>SUM(H23:M23)</f>
        <v>3783.8595999999998</v>
      </c>
      <c r="O23" s="493">
        <f>D6+D7</f>
        <v>17650</v>
      </c>
      <c r="P23" s="361">
        <f>G23-N23-O23</f>
        <v>-2884.9396000000015</v>
      </c>
      <c r="Q23" s="370">
        <f ca="1">Tax!H17</f>
        <v>0</v>
      </c>
      <c r="R23" s="570">
        <f ca="1">P23+Q23</f>
        <v>-2884.9396000000015</v>
      </c>
      <c r="S23" s="377">
        <f t="shared" ref="S23:S62" si="5">AM23</f>
        <v>927.44599999999991</v>
      </c>
      <c r="T23" s="378">
        <f t="shared" ref="T23:T62" si="6">AP23</f>
        <v>1854.8919999999998</v>
      </c>
      <c r="U23" s="585">
        <f ca="1">U22+R23+S23+T23</f>
        <v>17547.398399999998</v>
      </c>
      <c r="V23" s="362">
        <f t="shared" ref="V23:V62" si="7">E23*V$21</f>
        <v>1854.8919999999998</v>
      </c>
      <c r="W23" s="363">
        <f>AB22*F$21</f>
        <v>0</v>
      </c>
      <c r="X23" s="363">
        <f t="shared" ref="X23:X62" si="8">B23*$D$14</f>
        <v>1525</v>
      </c>
      <c r="Y23" s="364">
        <f t="shared" ref="Y23:Y62" si="9">X23*$Y$21</f>
        <v>762.5</v>
      </c>
      <c r="Z23" s="382">
        <f>IF(X23-Y23&lt;V23+W23+AB21,X23-Y23,V23+W23+AB21)</f>
        <v>762.5</v>
      </c>
      <c r="AA23" s="383">
        <f t="shared" ref="AA23:AA62" si="10">X23-Y23-Z23</f>
        <v>0</v>
      </c>
      <c r="AB23" s="367">
        <f>V23+W23-Z23+AB22</f>
        <v>1092.3919999999998</v>
      </c>
      <c r="AC23" s="379">
        <f>IF(AL21&gt;0,IF(AL21&gt;B23*$AC$21,B23*$AC$21,AL21),0)</f>
        <v>0</v>
      </c>
      <c r="AD23" s="363">
        <f>AI22*M$21</f>
        <v>0</v>
      </c>
      <c r="AE23" s="380">
        <f t="shared" ref="AE23:AE62" si="11">IF((A23/$F$16-INT(A23/$F$16))=0,B23*$D$16,0)</f>
        <v>0</v>
      </c>
      <c r="AF23" s="381">
        <f t="shared" ref="AF23:AF62" si="12">AE23*$AF$21</f>
        <v>0</v>
      </c>
      <c r="AG23" s="382">
        <f>IF(AE23-AF23&gt;AI21+AC23,AI21+AC23,AE23-AF23)</f>
        <v>0</v>
      </c>
      <c r="AH23" s="383">
        <f t="shared" ref="AH23:AH62" si="13">AE23-AF23-AG23</f>
        <v>0</v>
      </c>
      <c r="AI23" s="367">
        <f>AC23+AD23-AG23+AI22</f>
        <v>0</v>
      </c>
      <c r="AJ23" s="588">
        <f t="shared" ref="AJ23:AJ37" ca="1" si="14">R23</f>
        <v>-2884.9396000000015</v>
      </c>
      <c r="AK23" s="368">
        <f t="shared" ref="AK23:AK62" si="15">AA23+AH23</f>
        <v>0</v>
      </c>
      <c r="AL23" s="589">
        <f ca="1">AL22+AJ23</f>
        <v>-2884.9396000000015</v>
      </c>
      <c r="AM23" s="388">
        <f t="shared" ref="AM23:AM62" si="16">C23*$D$11</f>
        <v>927.44599999999991</v>
      </c>
      <c r="AN23" s="389">
        <f>AO21*AN$21</f>
        <v>0</v>
      </c>
      <c r="AO23" s="390">
        <f>AM23+AN23+AO21</f>
        <v>927.44599999999991</v>
      </c>
      <c r="AP23" s="389">
        <f t="shared" ref="AP23:AP62" si="17">C23*$D$12</f>
        <v>1854.8919999999998</v>
      </c>
      <c r="AQ23" s="389">
        <f>AR21*AQ$21</f>
        <v>0</v>
      </c>
      <c r="AR23" s="389">
        <f>AP23+AQ23+AR21</f>
        <v>1854.8919999999998</v>
      </c>
      <c r="AS23" s="367">
        <f>IF((A23/$F$16-INT(A23/$F$16))=0,AB23+AI23,AB23)</f>
        <v>1092.3919999999998</v>
      </c>
      <c r="AT23" s="372">
        <f t="shared" ref="AT23:AT62" si="18">AO23+AR23+AS23</f>
        <v>3874.7299999999996</v>
      </c>
      <c r="AU23" s="539">
        <f t="shared" ref="AU23:AU62" si="19">AT23/B23</f>
        <v>1.2704032786885245E-2</v>
      </c>
      <c r="AV23" s="371">
        <f>AV22</f>
        <v>345650</v>
      </c>
      <c r="AW23" s="371">
        <f t="shared" ref="AW23:AW62" si="20">$D$5-AT23</f>
        <v>324125.27</v>
      </c>
      <c r="AX23" s="540">
        <f>IF(AO23&gt;$L$6,0,IF(AO23&gt;$L$3,(AO23-$L$3)/$L$5*$L$4*12,0))</f>
        <v>0</v>
      </c>
      <c r="AY23" s="184">
        <v>1</v>
      </c>
      <c r="AZ23" s="146"/>
      <c r="BA23" s="146"/>
      <c r="BB23" s="146"/>
      <c r="BC23" s="146"/>
      <c r="BD23" s="146"/>
      <c r="BE23" s="146"/>
    </row>
    <row r="24" spans="1:57">
      <c r="A24" s="360">
        <f>A23+1</f>
        <v>2</v>
      </c>
      <c r="B24" s="182">
        <f t="shared" ref="B24:B62" si="21">B23*(1+$I$6)</f>
        <v>312625</v>
      </c>
      <c r="C24" s="361">
        <f t="shared" ref="C24:C62" si="22">C23*(1+$I$5)</f>
        <v>19068.28976</v>
      </c>
      <c r="D24" s="375">
        <f t="shared" ref="D24:D62" si="23">AX23</f>
        <v>0</v>
      </c>
      <c r="E24" s="376">
        <f>C24-D24</f>
        <v>19068.28976</v>
      </c>
      <c r="F24" s="377">
        <f t="shared" ref="F24:F62" ca="1" si="24">U23*$F$21</f>
        <v>526.42195199999992</v>
      </c>
      <c r="G24" s="377">
        <f t="shared" ref="G24:G62" ca="1" si="25">E24+F24</f>
        <v>19594.711712</v>
      </c>
      <c r="H24" s="382">
        <f t="shared" si="0"/>
        <v>625.25</v>
      </c>
      <c r="I24" s="383">
        <f t="shared" si="1"/>
        <v>2478.8776688000003</v>
      </c>
      <c r="J24" s="383">
        <f t="shared" ca="1" si="2"/>
        <v>781.5625</v>
      </c>
      <c r="K24" s="383">
        <f t="shared" ca="1" si="3"/>
        <v>0</v>
      </c>
      <c r="L24" s="383">
        <f t="shared" ref="L24:L62" si="26">IF(U22&lt;0,-U22*$L$21,0)</f>
        <v>0</v>
      </c>
      <c r="M24" s="386">
        <f t="shared" si="4"/>
        <v>10369.5</v>
      </c>
      <c r="N24" s="386">
        <f t="shared" ref="N24:N62" ca="1" si="27">SUM(H24:M24)</f>
        <v>14255.1901688</v>
      </c>
      <c r="O24" s="493"/>
      <c r="P24" s="361">
        <f ca="1">G24-N24-O24</f>
        <v>5339.5215432000005</v>
      </c>
      <c r="Q24" s="370">
        <f ca="1">Tax!I17</f>
        <v>0</v>
      </c>
      <c r="R24" s="570">
        <f t="shared" ref="R24:R62" ca="1" si="28">P24+Q24</f>
        <v>5339.5215432000005</v>
      </c>
      <c r="S24" s="377">
        <f t="shared" si="5"/>
        <v>953.41448800000001</v>
      </c>
      <c r="T24" s="378">
        <f t="shared" si="6"/>
        <v>1906.828976</v>
      </c>
      <c r="U24" s="586">
        <f t="shared" ref="U24:U62" ca="1" si="29">U23+G24-N24-O24+Q24+S24+T24</f>
        <v>25747.163407199994</v>
      </c>
      <c r="V24" s="379">
        <f t="shared" si="7"/>
        <v>1906.828976</v>
      </c>
      <c r="W24" s="380">
        <f t="shared" ref="W24:W62" si="30">AB23*F$21</f>
        <v>32.771759999999993</v>
      </c>
      <c r="X24" s="380">
        <f t="shared" si="8"/>
        <v>1563.125</v>
      </c>
      <c r="Y24" s="381">
        <f t="shared" si="9"/>
        <v>781.5625</v>
      </c>
      <c r="Z24" s="382">
        <f t="shared" ref="Z24:Z62" si="31">IF(X24-Y24&lt;V24+W24+AB23,X24-Y24,V24+W24+AB23)</f>
        <v>781.5625</v>
      </c>
      <c r="AA24" s="383">
        <f t="shared" si="10"/>
        <v>0</v>
      </c>
      <c r="AB24" s="384">
        <f t="shared" ref="AB24:AB62" si="32">V24+W24-Z24+AB23</f>
        <v>2250.4302360000001</v>
      </c>
      <c r="AC24" s="379">
        <f t="shared" ref="AC24:AC62" ca="1" si="33">IF(AL23&gt;0,IF(AL23&gt;B24*$AC$21,B24*$AC$21,AL23),0)</f>
        <v>0</v>
      </c>
      <c r="AD24" s="380">
        <f t="shared" ref="AD24:AD62" si="34">AI23*M$21</f>
        <v>0</v>
      </c>
      <c r="AE24" s="380">
        <f t="shared" si="11"/>
        <v>0</v>
      </c>
      <c r="AF24" s="381">
        <f t="shared" si="12"/>
        <v>0</v>
      </c>
      <c r="AG24" s="382">
        <f t="shared" ref="AG24:AG62" ca="1" si="35">IF(AE24-AF24&gt;AI23+AC24,AI23+AC24,AE24-AF24)</f>
        <v>0</v>
      </c>
      <c r="AH24" s="383">
        <f t="shared" ca="1" si="13"/>
        <v>0</v>
      </c>
      <c r="AI24" s="384">
        <f t="shared" ref="AI24:AI62" ca="1" si="36">AC24+AD24-AG24+AI23</f>
        <v>0</v>
      </c>
      <c r="AJ24" s="590">
        <f t="shared" ca="1" si="14"/>
        <v>5339.5215432000005</v>
      </c>
      <c r="AK24" s="385">
        <f t="shared" ca="1" si="15"/>
        <v>0</v>
      </c>
      <c r="AL24" s="591">
        <f t="shared" ref="AL24:AL62" ca="1" si="37">AL23+AJ24</f>
        <v>2454.5819431999989</v>
      </c>
      <c r="AM24" s="388">
        <f t="shared" si="16"/>
        <v>953.41448800000001</v>
      </c>
      <c r="AN24" s="389">
        <f t="shared" ref="AN24:AN62" si="38">AO23*AN$21</f>
        <v>27.823379999999997</v>
      </c>
      <c r="AO24" s="390">
        <f t="shared" ref="AO24:AO62" si="39">AM24+AN24+AO23</f>
        <v>1908.6838680000001</v>
      </c>
      <c r="AP24" s="389">
        <f t="shared" si="17"/>
        <v>1906.828976</v>
      </c>
      <c r="AQ24" s="389">
        <f t="shared" ref="AQ24:AQ62" si="40">AR23*AQ$21</f>
        <v>55.646759999999993</v>
      </c>
      <c r="AR24" s="389">
        <f t="shared" ref="AR24:AR62" si="41">AP24+AQ24+AR23</f>
        <v>3817.3677360000001</v>
      </c>
      <c r="AS24" s="384">
        <f t="shared" ref="AS24:AS62" si="42">IF((A24/$F$16-INT(A24/$F$16))=0,AB24+AI24,AB24)</f>
        <v>2250.4302360000001</v>
      </c>
      <c r="AT24" s="390">
        <f t="shared" si="18"/>
        <v>7976.4818400000004</v>
      </c>
      <c r="AU24" s="373">
        <f t="shared" si="19"/>
        <v>2.5514536073570574E-2</v>
      </c>
      <c r="AV24" s="387">
        <f t="shared" ref="AV24:AV62" si="43">AV23</f>
        <v>345650</v>
      </c>
      <c r="AW24" s="387">
        <f t="shared" si="20"/>
        <v>320023.51815999998</v>
      </c>
      <c r="AX24" s="374">
        <f t="shared" ref="AX24:AX62" si="44">IF(AO24&gt;$L$6,0,IF(AO24&gt;$L$3,(AO24-$L$3)/$L$5*$L$4*12,0))</f>
        <v>0</v>
      </c>
      <c r="AY24" s="184">
        <f>AY23+1</f>
        <v>2</v>
      </c>
      <c r="AZ24" s="146"/>
      <c r="BA24" s="146"/>
      <c r="BB24" s="146"/>
      <c r="BC24" s="146"/>
      <c r="BD24" s="146"/>
      <c r="BE24" s="146"/>
    </row>
    <row r="25" spans="1:57">
      <c r="A25" s="360">
        <f t="shared" ref="A25:A62" si="45">A24+1</f>
        <v>3</v>
      </c>
      <c r="B25" s="182">
        <f t="shared" si="21"/>
        <v>320440.625</v>
      </c>
      <c r="C25" s="361">
        <f t="shared" si="22"/>
        <v>19602.201873279999</v>
      </c>
      <c r="D25" s="375">
        <f t="shared" si="23"/>
        <v>0</v>
      </c>
      <c r="E25" s="376">
        <f t="shared" ref="E25:E62" si="46">C25-D25</f>
        <v>19602.201873279999</v>
      </c>
      <c r="F25" s="377">
        <f t="shared" ca="1" si="24"/>
        <v>772.41490221599975</v>
      </c>
      <c r="G25" s="377">
        <f t="shared" ca="1" si="25"/>
        <v>20374.616775495997</v>
      </c>
      <c r="H25" s="382">
        <f t="shared" si="0"/>
        <v>640.88125000000002</v>
      </c>
      <c r="I25" s="383">
        <f t="shared" si="1"/>
        <v>2548.2862435264001</v>
      </c>
      <c r="J25" s="383">
        <f t="shared" ca="1" si="2"/>
        <v>801.1015625</v>
      </c>
      <c r="K25" s="383">
        <f t="shared" ca="1" si="3"/>
        <v>0</v>
      </c>
      <c r="L25" s="383">
        <f t="shared" ca="1" si="26"/>
        <v>0</v>
      </c>
      <c r="M25" s="386">
        <f t="shared" si="4"/>
        <v>10369.5</v>
      </c>
      <c r="N25" s="386">
        <f t="shared" ca="1" si="27"/>
        <v>14359.7690560264</v>
      </c>
      <c r="O25" s="493"/>
      <c r="P25" s="361">
        <f t="shared" ref="P25:P62" ca="1" si="47">G25-N25-O25</f>
        <v>6014.847719469597</v>
      </c>
      <c r="Q25" s="370">
        <f ca="1">Tax!J17</f>
        <v>0</v>
      </c>
      <c r="R25" s="570">
        <f t="shared" ca="1" si="28"/>
        <v>6014.847719469597</v>
      </c>
      <c r="S25" s="377">
        <f t="shared" si="5"/>
        <v>980.11009366400003</v>
      </c>
      <c r="T25" s="378">
        <f t="shared" si="6"/>
        <v>1960.2201873280001</v>
      </c>
      <c r="U25" s="586">
        <f t="shared" ca="1" si="29"/>
        <v>34702.341407661588</v>
      </c>
      <c r="V25" s="379">
        <f t="shared" si="7"/>
        <v>1960.2201873280001</v>
      </c>
      <c r="W25" s="380">
        <f t="shared" si="30"/>
        <v>67.512907080000005</v>
      </c>
      <c r="X25" s="380">
        <f t="shared" si="8"/>
        <v>1602.203125</v>
      </c>
      <c r="Y25" s="381">
        <f t="shared" si="9"/>
        <v>801.1015625</v>
      </c>
      <c r="Z25" s="382">
        <f t="shared" si="31"/>
        <v>801.1015625</v>
      </c>
      <c r="AA25" s="383">
        <f t="shared" si="10"/>
        <v>0</v>
      </c>
      <c r="AB25" s="384">
        <f t="shared" si="32"/>
        <v>3477.0617679080005</v>
      </c>
      <c r="AC25" s="379">
        <f t="shared" ca="1" si="33"/>
        <v>2454.5819431999989</v>
      </c>
      <c r="AD25" s="380">
        <f t="shared" ca="1" si="34"/>
        <v>0</v>
      </c>
      <c r="AE25" s="380">
        <f t="shared" si="11"/>
        <v>0</v>
      </c>
      <c r="AF25" s="381">
        <f t="shared" si="12"/>
        <v>0</v>
      </c>
      <c r="AG25" s="382">
        <f t="shared" ca="1" si="35"/>
        <v>0</v>
      </c>
      <c r="AH25" s="383">
        <f t="shared" ca="1" si="13"/>
        <v>0</v>
      </c>
      <c r="AI25" s="384">
        <f t="shared" ca="1" si="36"/>
        <v>2454.5819431999989</v>
      </c>
      <c r="AJ25" s="590">
        <f t="shared" ca="1" si="14"/>
        <v>6014.847719469597</v>
      </c>
      <c r="AK25" s="385">
        <f t="shared" ca="1" si="15"/>
        <v>0</v>
      </c>
      <c r="AL25" s="591">
        <f t="shared" ca="1" si="37"/>
        <v>8469.4296626695959</v>
      </c>
      <c r="AM25" s="388">
        <f t="shared" si="16"/>
        <v>980.11009366400003</v>
      </c>
      <c r="AN25" s="389">
        <f t="shared" si="38"/>
        <v>57.260516039999999</v>
      </c>
      <c r="AO25" s="390">
        <f t="shared" si="39"/>
        <v>2946.0544777040004</v>
      </c>
      <c r="AP25" s="389">
        <f t="shared" si="17"/>
        <v>1960.2201873280001</v>
      </c>
      <c r="AQ25" s="389">
        <f t="shared" si="40"/>
        <v>114.52103208</v>
      </c>
      <c r="AR25" s="389">
        <f t="shared" si="41"/>
        <v>5892.1089554080008</v>
      </c>
      <c r="AS25" s="384">
        <f t="shared" si="42"/>
        <v>3477.0617679080005</v>
      </c>
      <c r="AT25" s="390">
        <f t="shared" si="18"/>
        <v>12315.225201020001</v>
      </c>
      <c r="AU25" s="373">
        <f t="shared" si="19"/>
        <v>3.8432159471103268E-2</v>
      </c>
      <c r="AV25" s="387">
        <f t="shared" si="43"/>
        <v>345650</v>
      </c>
      <c r="AW25" s="387">
        <f t="shared" si="20"/>
        <v>315684.77479897998</v>
      </c>
      <c r="AX25" s="374">
        <f t="shared" si="44"/>
        <v>0</v>
      </c>
      <c r="AY25" s="184">
        <f t="shared" ref="AY25:AY61" si="48">AY24+1</f>
        <v>3</v>
      </c>
      <c r="AZ25" s="146"/>
      <c r="BA25" s="146"/>
      <c r="BB25" s="146"/>
      <c r="BC25" s="146"/>
      <c r="BD25" s="146"/>
      <c r="BE25" s="146"/>
    </row>
    <row r="26" spans="1:57">
      <c r="A26" s="360">
        <f t="shared" si="45"/>
        <v>4</v>
      </c>
      <c r="B26" s="182">
        <f t="shared" si="21"/>
        <v>328451.640625</v>
      </c>
      <c r="C26" s="361">
        <f t="shared" si="22"/>
        <v>20151.063525731839</v>
      </c>
      <c r="D26" s="375">
        <f t="shared" si="23"/>
        <v>0</v>
      </c>
      <c r="E26" s="376">
        <f t="shared" si="46"/>
        <v>20151.063525731839</v>
      </c>
      <c r="F26" s="377">
        <f t="shared" ca="1" si="24"/>
        <v>1041.0702422298475</v>
      </c>
      <c r="G26" s="377">
        <f t="shared" ca="1" si="25"/>
        <v>21192.133767961688</v>
      </c>
      <c r="H26" s="382">
        <f t="shared" si="0"/>
        <v>656.90328124999996</v>
      </c>
      <c r="I26" s="383">
        <f t="shared" si="1"/>
        <v>2619.6382583451391</v>
      </c>
      <c r="J26" s="383">
        <f t="shared" ca="1" si="2"/>
        <v>821.12910156250007</v>
      </c>
      <c r="K26" s="383">
        <f t="shared" ca="1" si="3"/>
        <v>0</v>
      </c>
      <c r="L26" s="383">
        <f t="shared" ca="1" si="26"/>
        <v>0</v>
      </c>
      <c r="M26" s="386">
        <f t="shared" si="4"/>
        <v>10369.5</v>
      </c>
      <c r="N26" s="386">
        <f t="shared" ca="1" si="27"/>
        <v>14467.170641157638</v>
      </c>
      <c r="O26" s="493"/>
      <c r="P26" s="361">
        <f t="shared" ca="1" si="47"/>
        <v>6724.9631268040503</v>
      </c>
      <c r="Q26" s="370">
        <f ca="1">Tax!K17</f>
        <v>0</v>
      </c>
      <c r="R26" s="570">
        <f t="shared" ca="1" si="28"/>
        <v>6724.9631268040503</v>
      </c>
      <c r="S26" s="377">
        <f t="shared" si="5"/>
        <v>1007.553176286592</v>
      </c>
      <c r="T26" s="378">
        <f t="shared" si="6"/>
        <v>2015.106352573184</v>
      </c>
      <c r="U26" s="586">
        <f t="shared" ca="1" si="29"/>
        <v>44449.964063325409</v>
      </c>
      <c r="V26" s="379">
        <f t="shared" si="7"/>
        <v>2015.106352573184</v>
      </c>
      <c r="W26" s="380">
        <f t="shared" si="30"/>
        <v>104.31185303724001</v>
      </c>
      <c r="X26" s="380">
        <f t="shared" si="8"/>
        <v>1642.2582031250001</v>
      </c>
      <c r="Y26" s="381">
        <f t="shared" si="9"/>
        <v>821.12910156250007</v>
      </c>
      <c r="Z26" s="382">
        <f t="shared" si="31"/>
        <v>821.12910156250007</v>
      </c>
      <c r="AA26" s="383">
        <f t="shared" si="10"/>
        <v>0</v>
      </c>
      <c r="AB26" s="384">
        <f t="shared" si="32"/>
        <v>4775.350871955925</v>
      </c>
      <c r="AC26" s="379">
        <f t="shared" ca="1" si="33"/>
        <v>4926.7746093750002</v>
      </c>
      <c r="AD26" s="380">
        <f t="shared" ca="1" si="34"/>
        <v>73.637458295999963</v>
      </c>
      <c r="AE26" s="380">
        <f t="shared" si="11"/>
        <v>0</v>
      </c>
      <c r="AF26" s="381">
        <f t="shared" si="12"/>
        <v>0</v>
      </c>
      <c r="AG26" s="382">
        <f t="shared" ca="1" si="35"/>
        <v>0</v>
      </c>
      <c r="AH26" s="383">
        <f t="shared" ca="1" si="13"/>
        <v>0</v>
      </c>
      <c r="AI26" s="384">
        <f t="shared" ca="1" si="36"/>
        <v>7454.9940108709989</v>
      </c>
      <c r="AJ26" s="590">
        <f t="shared" ca="1" si="14"/>
        <v>6724.9631268040503</v>
      </c>
      <c r="AK26" s="385">
        <f t="shared" ca="1" si="15"/>
        <v>0</v>
      </c>
      <c r="AL26" s="591">
        <f t="shared" ca="1" si="37"/>
        <v>15194.392789473646</v>
      </c>
      <c r="AM26" s="388">
        <f t="shared" si="16"/>
        <v>1007.553176286592</v>
      </c>
      <c r="AN26" s="389">
        <f t="shared" si="38"/>
        <v>88.381634331120011</v>
      </c>
      <c r="AO26" s="390">
        <f t="shared" si="39"/>
        <v>4041.9892883217126</v>
      </c>
      <c r="AP26" s="389">
        <f t="shared" si="17"/>
        <v>2015.106352573184</v>
      </c>
      <c r="AQ26" s="389">
        <f t="shared" si="40"/>
        <v>176.76326866224002</v>
      </c>
      <c r="AR26" s="389">
        <f t="shared" si="41"/>
        <v>8083.9785766434252</v>
      </c>
      <c r="AS26" s="384">
        <f t="shared" si="42"/>
        <v>4775.350871955925</v>
      </c>
      <c r="AT26" s="390">
        <f t="shared" si="18"/>
        <v>16901.318736921065</v>
      </c>
      <c r="AU26" s="373">
        <f t="shared" si="19"/>
        <v>5.1457556140563319E-2</v>
      </c>
      <c r="AV26" s="387">
        <f t="shared" si="43"/>
        <v>345650</v>
      </c>
      <c r="AW26" s="387">
        <f t="shared" si="20"/>
        <v>311098.68126307894</v>
      </c>
      <c r="AX26" s="374">
        <f t="shared" si="44"/>
        <v>0</v>
      </c>
      <c r="AY26" s="184">
        <f t="shared" si="48"/>
        <v>4</v>
      </c>
      <c r="AZ26" s="146"/>
      <c r="BA26" s="146"/>
      <c r="BB26" s="146"/>
      <c r="BC26" s="146"/>
      <c r="BD26" s="146"/>
      <c r="BE26" s="146"/>
    </row>
    <row r="27" spans="1:57">
      <c r="A27" s="360">
        <f t="shared" si="45"/>
        <v>5</v>
      </c>
      <c r="B27" s="182">
        <f t="shared" si="21"/>
        <v>336662.93164062494</v>
      </c>
      <c r="C27" s="361">
        <f t="shared" si="22"/>
        <v>20715.293304452331</v>
      </c>
      <c r="D27" s="375">
        <f t="shared" si="23"/>
        <v>0</v>
      </c>
      <c r="E27" s="376">
        <f t="shared" si="46"/>
        <v>20715.293304452331</v>
      </c>
      <c r="F27" s="377">
        <f t="shared" ca="1" si="24"/>
        <v>1333.4989218997623</v>
      </c>
      <c r="G27" s="377">
        <f t="shared" ca="1" si="25"/>
        <v>22048.792226352092</v>
      </c>
      <c r="H27" s="382">
        <f t="shared" si="0"/>
        <v>673.32586328124989</v>
      </c>
      <c r="I27" s="383">
        <f t="shared" si="1"/>
        <v>2692.9881295788032</v>
      </c>
      <c r="J27" s="383">
        <f t="shared" ca="1" si="2"/>
        <v>841.65732910156237</v>
      </c>
      <c r="K27" s="383">
        <f t="shared" ca="1" si="3"/>
        <v>0</v>
      </c>
      <c r="L27" s="383">
        <f t="shared" ca="1" si="26"/>
        <v>0</v>
      </c>
      <c r="M27" s="386">
        <f t="shared" si="4"/>
        <v>10369.5</v>
      </c>
      <c r="N27" s="386">
        <f t="shared" ca="1" si="27"/>
        <v>14577.471321961615</v>
      </c>
      <c r="O27" s="493"/>
      <c r="P27" s="361">
        <f t="shared" ca="1" si="47"/>
        <v>7471.3209043904772</v>
      </c>
      <c r="Q27" s="370">
        <f ca="1">Tax!L17</f>
        <v>-348.15226850084946</v>
      </c>
      <c r="R27" s="570">
        <f t="shared" ca="1" si="28"/>
        <v>7123.1686358896277</v>
      </c>
      <c r="S27" s="377">
        <f t="shared" si="5"/>
        <v>1035.7646652226165</v>
      </c>
      <c r="T27" s="378">
        <f t="shared" si="6"/>
        <v>2071.529330445233</v>
      </c>
      <c r="U27" s="586">
        <f t="shared" ca="1" si="29"/>
        <v>54680.426694882895</v>
      </c>
      <c r="V27" s="379">
        <f t="shared" si="7"/>
        <v>2071.529330445233</v>
      </c>
      <c r="W27" s="380">
        <f t="shared" si="30"/>
        <v>143.26052615867775</v>
      </c>
      <c r="X27" s="380">
        <f t="shared" si="8"/>
        <v>1683.3146582031247</v>
      </c>
      <c r="Y27" s="381">
        <f t="shared" si="9"/>
        <v>841.65732910156237</v>
      </c>
      <c r="Z27" s="382">
        <f t="shared" si="31"/>
        <v>841.65732910156237</v>
      </c>
      <c r="AA27" s="383">
        <f t="shared" si="10"/>
        <v>0</v>
      </c>
      <c r="AB27" s="384">
        <f t="shared" si="32"/>
        <v>6148.4833994582732</v>
      </c>
      <c r="AC27" s="379">
        <f t="shared" ca="1" si="33"/>
        <v>5049.943974609374</v>
      </c>
      <c r="AD27" s="380">
        <f t="shared" ca="1" si="34"/>
        <v>223.64982032612997</v>
      </c>
      <c r="AE27" s="380">
        <f t="shared" si="11"/>
        <v>0</v>
      </c>
      <c r="AF27" s="381">
        <f t="shared" si="12"/>
        <v>0</v>
      </c>
      <c r="AG27" s="382">
        <f t="shared" ca="1" si="35"/>
        <v>0</v>
      </c>
      <c r="AH27" s="383">
        <f t="shared" ca="1" si="13"/>
        <v>0</v>
      </c>
      <c r="AI27" s="384">
        <f t="shared" ca="1" si="36"/>
        <v>12728.587805806503</v>
      </c>
      <c r="AJ27" s="590">
        <f t="shared" ca="1" si="14"/>
        <v>7123.1686358896277</v>
      </c>
      <c r="AK27" s="385">
        <f t="shared" ca="1" si="15"/>
        <v>0</v>
      </c>
      <c r="AL27" s="591">
        <f t="shared" ca="1" si="37"/>
        <v>22317.561425363274</v>
      </c>
      <c r="AM27" s="388">
        <f t="shared" si="16"/>
        <v>1035.7646652226165</v>
      </c>
      <c r="AN27" s="389">
        <f t="shared" si="38"/>
        <v>121.25967864965138</v>
      </c>
      <c r="AO27" s="390">
        <f t="shared" si="39"/>
        <v>5199.0136321939808</v>
      </c>
      <c r="AP27" s="389">
        <f t="shared" si="17"/>
        <v>2071.529330445233</v>
      </c>
      <c r="AQ27" s="389">
        <f t="shared" si="40"/>
        <v>242.51935729930275</v>
      </c>
      <c r="AR27" s="389">
        <f t="shared" si="41"/>
        <v>10398.027264387962</v>
      </c>
      <c r="AS27" s="384">
        <f t="shared" si="42"/>
        <v>6148.4833994582732</v>
      </c>
      <c r="AT27" s="390">
        <f t="shared" si="18"/>
        <v>21745.524296040217</v>
      </c>
      <c r="AU27" s="373">
        <f t="shared" si="19"/>
        <v>6.4591382811496303E-2</v>
      </c>
      <c r="AV27" s="387">
        <f t="shared" si="43"/>
        <v>345650</v>
      </c>
      <c r="AW27" s="387">
        <f t="shared" si="20"/>
        <v>306254.47570395976</v>
      </c>
      <c r="AX27" s="374">
        <f t="shared" si="44"/>
        <v>0</v>
      </c>
      <c r="AY27" s="184">
        <f t="shared" si="48"/>
        <v>5</v>
      </c>
      <c r="AZ27" s="146"/>
      <c r="BA27" s="146"/>
      <c r="BB27" s="146"/>
      <c r="BC27" s="146"/>
      <c r="BD27" s="146"/>
      <c r="BE27" s="146"/>
    </row>
    <row r="28" spans="1:57">
      <c r="A28" s="360">
        <f t="shared" si="45"/>
        <v>6</v>
      </c>
      <c r="B28" s="182">
        <f t="shared" si="21"/>
        <v>345079.50493164052</v>
      </c>
      <c r="C28" s="361">
        <f t="shared" si="22"/>
        <v>21295.321516976997</v>
      </c>
      <c r="D28" s="375">
        <f t="shared" si="23"/>
        <v>0</v>
      </c>
      <c r="E28" s="376">
        <f t="shared" si="46"/>
        <v>21295.321516976997</v>
      </c>
      <c r="F28" s="377">
        <f t="shared" ca="1" si="24"/>
        <v>1640.4128008464868</v>
      </c>
      <c r="G28" s="377">
        <f t="shared" ca="1" si="25"/>
        <v>22935.734317823484</v>
      </c>
      <c r="H28" s="382">
        <f t="shared" si="0"/>
        <v>690.15900986328109</v>
      </c>
      <c r="I28" s="383">
        <f t="shared" si="1"/>
        <v>2768.3917972070099</v>
      </c>
      <c r="J28" s="383">
        <f t="shared" ca="1" si="2"/>
        <v>862.69876232910133</v>
      </c>
      <c r="K28" s="383">
        <f t="shared" ca="1" si="3"/>
        <v>0</v>
      </c>
      <c r="L28" s="383">
        <f t="shared" ca="1" si="26"/>
        <v>0</v>
      </c>
      <c r="M28" s="386">
        <f t="shared" si="4"/>
        <v>10369.5</v>
      </c>
      <c r="N28" s="386">
        <f t="shared" ca="1" si="27"/>
        <v>14690.749569399391</v>
      </c>
      <c r="O28" s="493"/>
      <c r="P28" s="361">
        <f t="shared" ca="1" si="47"/>
        <v>8244.9847484240927</v>
      </c>
      <c r="Q28" s="370">
        <f ca="1">Tax!M17</f>
        <v>-964.88043553391094</v>
      </c>
      <c r="R28" s="570">
        <f t="shared" ca="1" si="28"/>
        <v>7280.104312890182</v>
      </c>
      <c r="S28" s="377">
        <f t="shared" si="5"/>
        <v>1064.7660758488498</v>
      </c>
      <c r="T28" s="378">
        <f t="shared" si="6"/>
        <v>2129.5321516976996</v>
      </c>
      <c r="U28" s="586">
        <f t="shared" ca="1" si="29"/>
        <v>65154.829235319623</v>
      </c>
      <c r="V28" s="379">
        <f t="shared" si="7"/>
        <v>2129.5321516976996</v>
      </c>
      <c r="W28" s="380">
        <f t="shared" si="30"/>
        <v>184.4545019837482</v>
      </c>
      <c r="X28" s="380">
        <f t="shared" si="8"/>
        <v>1725.3975246582027</v>
      </c>
      <c r="Y28" s="381">
        <f t="shared" si="9"/>
        <v>862.69876232910133</v>
      </c>
      <c r="Z28" s="382">
        <f t="shared" si="31"/>
        <v>862.69876232910133</v>
      </c>
      <c r="AA28" s="383">
        <f t="shared" si="10"/>
        <v>0</v>
      </c>
      <c r="AB28" s="384">
        <f t="shared" si="32"/>
        <v>7599.7712908106196</v>
      </c>
      <c r="AC28" s="379">
        <f t="shared" ca="1" si="33"/>
        <v>5176.1925739746075</v>
      </c>
      <c r="AD28" s="380">
        <f t="shared" ca="1" si="34"/>
        <v>381.85763417419508</v>
      </c>
      <c r="AE28" s="380">
        <f t="shared" si="11"/>
        <v>0</v>
      </c>
      <c r="AF28" s="381">
        <f t="shared" si="12"/>
        <v>0</v>
      </c>
      <c r="AG28" s="382">
        <f t="shared" ca="1" si="35"/>
        <v>0</v>
      </c>
      <c r="AH28" s="383">
        <f t="shared" ca="1" si="13"/>
        <v>0</v>
      </c>
      <c r="AI28" s="384">
        <f t="shared" ca="1" si="36"/>
        <v>18286.638013955308</v>
      </c>
      <c r="AJ28" s="590">
        <f t="shared" ca="1" si="14"/>
        <v>7280.104312890182</v>
      </c>
      <c r="AK28" s="385">
        <f t="shared" ca="1" si="15"/>
        <v>0</v>
      </c>
      <c r="AL28" s="591">
        <f t="shared" ca="1" si="37"/>
        <v>29597.665738253454</v>
      </c>
      <c r="AM28" s="388">
        <f t="shared" si="16"/>
        <v>1064.7660758488498</v>
      </c>
      <c r="AN28" s="389">
        <f t="shared" si="38"/>
        <v>155.97040896581942</v>
      </c>
      <c r="AO28" s="390">
        <f t="shared" si="39"/>
        <v>6419.7501170086498</v>
      </c>
      <c r="AP28" s="389">
        <f t="shared" si="17"/>
        <v>2129.5321516976996</v>
      </c>
      <c r="AQ28" s="389">
        <f t="shared" si="40"/>
        <v>311.94081793163883</v>
      </c>
      <c r="AR28" s="389">
        <f t="shared" si="41"/>
        <v>12839.5002340173</v>
      </c>
      <c r="AS28" s="384">
        <f t="shared" si="42"/>
        <v>7599.7712908106196</v>
      </c>
      <c r="AT28" s="390">
        <f t="shared" si="18"/>
        <v>26859.021641836567</v>
      </c>
      <c r="AU28" s="373">
        <f t="shared" si="19"/>
        <v>7.7834299800439558E-2</v>
      </c>
      <c r="AV28" s="387">
        <f t="shared" si="43"/>
        <v>345650</v>
      </c>
      <c r="AW28" s="387">
        <f t="shared" si="20"/>
        <v>301140.97835816344</v>
      </c>
      <c r="AX28" s="374">
        <f t="shared" si="44"/>
        <v>87.64382443140606</v>
      </c>
      <c r="AY28" s="184">
        <f t="shared" si="48"/>
        <v>6</v>
      </c>
      <c r="AZ28" s="146"/>
      <c r="BA28" s="146"/>
      <c r="BB28" s="146"/>
      <c r="BC28" s="146"/>
      <c r="BD28" s="146"/>
      <c r="BE28" s="146"/>
    </row>
    <row r="29" spans="1:57">
      <c r="A29" s="360">
        <f t="shared" si="45"/>
        <v>7</v>
      </c>
      <c r="B29" s="182">
        <f t="shared" si="21"/>
        <v>353706.49255493149</v>
      </c>
      <c r="C29" s="361">
        <f t="shared" si="22"/>
        <v>21891.590519452355</v>
      </c>
      <c r="D29" s="375">
        <f t="shared" si="23"/>
        <v>87.64382443140606</v>
      </c>
      <c r="E29" s="376">
        <f t="shared" si="46"/>
        <v>21803.94669502095</v>
      </c>
      <c r="F29" s="377">
        <f t="shared" ca="1" si="24"/>
        <v>1954.6448770595887</v>
      </c>
      <c r="G29" s="377">
        <f t="shared" ca="1" si="25"/>
        <v>23758.591572080539</v>
      </c>
      <c r="H29" s="382">
        <f t="shared" si="0"/>
        <v>707.41298510986303</v>
      </c>
      <c r="I29" s="383">
        <f t="shared" si="1"/>
        <v>2834.5130703527234</v>
      </c>
      <c r="J29" s="383">
        <f t="shared" ca="1" si="2"/>
        <v>884.26623138732873</v>
      </c>
      <c r="K29" s="383">
        <f t="shared" ca="1" si="3"/>
        <v>0</v>
      </c>
      <c r="L29" s="383">
        <f t="shared" ca="1" si="26"/>
        <v>0</v>
      </c>
      <c r="M29" s="386">
        <f t="shared" si="4"/>
        <v>10369.5</v>
      </c>
      <c r="N29" s="386">
        <f t="shared" ca="1" si="27"/>
        <v>14795.692286849915</v>
      </c>
      <c r="O29" s="493"/>
      <c r="P29" s="361">
        <f t="shared" ca="1" si="47"/>
        <v>8962.8992852306237</v>
      </c>
      <c r="Q29" s="370">
        <f ca="1">Tax!N17</f>
        <v>-1101.2841975271517</v>
      </c>
      <c r="R29" s="570">
        <f t="shared" ca="1" si="28"/>
        <v>7861.6150877034725</v>
      </c>
      <c r="S29" s="377">
        <f t="shared" si="5"/>
        <v>1094.5795259726178</v>
      </c>
      <c r="T29" s="378">
        <f t="shared" si="6"/>
        <v>2189.1590519452357</v>
      </c>
      <c r="U29" s="586">
        <f t="shared" ca="1" si="29"/>
        <v>76300.182900940941</v>
      </c>
      <c r="V29" s="379">
        <f t="shared" si="7"/>
        <v>2180.394669502095</v>
      </c>
      <c r="W29" s="380">
        <f t="shared" si="30"/>
        <v>227.99313872431858</v>
      </c>
      <c r="X29" s="380">
        <f t="shared" si="8"/>
        <v>1768.5324627746575</v>
      </c>
      <c r="Y29" s="381">
        <f t="shared" si="9"/>
        <v>884.26623138732873</v>
      </c>
      <c r="Z29" s="382">
        <f t="shared" si="31"/>
        <v>884.26623138732873</v>
      </c>
      <c r="AA29" s="383">
        <f t="shared" si="10"/>
        <v>0</v>
      </c>
      <c r="AB29" s="384">
        <f t="shared" si="32"/>
        <v>9123.8928676497053</v>
      </c>
      <c r="AC29" s="379">
        <f t="shared" ca="1" si="33"/>
        <v>5305.5973883239722</v>
      </c>
      <c r="AD29" s="380">
        <f t="shared" ca="1" si="34"/>
        <v>548.5991404186592</v>
      </c>
      <c r="AE29" s="380">
        <f t="shared" si="11"/>
        <v>0</v>
      </c>
      <c r="AF29" s="381">
        <f t="shared" si="12"/>
        <v>0</v>
      </c>
      <c r="AG29" s="382">
        <f t="shared" ca="1" si="35"/>
        <v>0</v>
      </c>
      <c r="AH29" s="383">
        <f t="shared" ca="1" si="13"/>
        <v>0</v>
      </c>
      <c r="AI29" s="384">
        <f t="shared" ca="1" si="36"/>
        <v>24140.834542697939</v>
      </c>
      <c r="AJ29" s="590">
        <f t="shared" ca="1" si="14"/>
        <v>7861.6150877034725</v>
      </c>
      <c r="AK29" s="385">
        <f t="shared" ca="1" si="15"/>
        <v>0</v>
      </c>
      <c r="AL29" s="591">
        <f t="shared" ca="1" si="37"/>
        <v>37459.280825956928</v>
      </c>
      <c r="AM29" s="388">
        <f t="shared" si="16"/>
        <v>1094.5795259726178</v>
      </c>
      <c r="AN29" s="389">
        <f t="shared" si="38"/>
        <v>192.59250351025949</v>
      </c>
      <c r="AO29" s="390">
        <f t="shared" si="39"/>
        <v>7706.9221464915272</v>
      </c>
      <c r="AP29" s="389">
        <f t="shared" si="17"/>
        <v>2189.1590519452357</v>
      </c>
      <c r="AQ29" s="389">
        <f t="shared" si="40"/>
        <v>385.18500702051898</v>
      </c>
      <c r="AR29" s="389">
        <f t="shared" si="41"/>
        <v>15413.844292983054</v>
      </c>
      <c r="AS29" s="384">
        <f t="shared" si="42"/>
        <v>9123.8928676497053</v>
      </c>
      <c r="AT29" s="390">
        <f t="shared" si="18"/>
        <v>32244.659307124286</v>
      </c>
      <c r="AU29" s="373">
        <f t="shared" si="19"/>
        <v>9.1162192342614717E-2</v>
      </c>
      <c r="AV29" s="387">
        <f t="shared" si="43"/>
        <v>345650</v>
      </c>
      <c r="AW29" s="387">
        <f t="shared" si="20"/>
        <v>295755.34069287573</v>
      </c>
      <c r="AX29" s="374">
        <f t="shared" si="44"/>
        <v>356.40534418743084</v>
      </c>
      <c r="AY29" s="184">
        <f t="shared" si="48"/>
        <v>7</v>
      </c>
      <c r="AZ29" s="146"/>
      <c r="BA29" s="146"/>
      <c r="BB29" s="146"/>
      <c r="BC29" s="146"/>
      <c r="BD29" s="146"/>
      <c r="BE29" s="146"/>
    </row>
    <row r="30" spans="1:57">
      <c r="A30" s="360">
        <f t="shared" si="45"/>
        <v>8</v>
      </c>
      <c r="B30" s="182">
        <f t="shared" si="21"/>
        <v>362549.15486880473</v>
      </c>
      <c r="C30" s="361">
        <f t="shared" si="22"/>
        <v>22504.555053997021</v>
      </c>
      <c r="D30" s="375">
        <f t="shared" si="23"/>
        <v>356.40534418743084</v>
      </c>
      <c r="E30" s="376">
        <f t="shared" si="46"/>
        <v>22148.14970980959</v>
      </c>
      <c r="F30" s="377">
        <f t="shared" ca="1" si="24"/>
        <v>2289.0054870282283</v>
      </c>
      <c r="G30" s="377">
        <f t="shared" ca="1" si="25"/>
        <v>24437.155196837819</v>
      </c>
      <c r="H30" s="382">
        <f t="shared" si="0"/>
        <v>725.0983097376095</v>
      </c>
      <c r="I30" s="383">
        <f t="shared" si="1"/>
        <v>2879.2594622752467</v>
      </c>
      <c r="J30" s="383">
        <f t="shared" ca="1" si="2"/>
        <v>906.37288717201181</v>
      </c>
      <c r="K30" s="383">
        <f t="shared" ca="1" si="3"/>
        <v>0</v>
      </c>
      <c r="L30" s="383">
        <f t="shared" ca="1" si="26"/>
        <v>0</v>
      </c>
      <c r="M30" s="386">
        <f t="shared" si="4"/>
        <v>10369.5</v>
      </c>
      <c r="N30" s="386">
        <f t="shared" ca="1" si="27"/>
        <v>14880.230659184868</v>
      </c>
      <c r="O30" s="493"/>
      <c r="P30" s="361">
        <f t="shared" ca="1" si="47"/>
        <v>9556.9245376529507</v>
      </c>
      <c r="Q30" s="370">
        <f ca="1">Tax!O17</f>
        <v>-1214.1489954873939</v>
      </c>
      <c r="R30" s="570">
        <f t="shared" ca="1" si="28"/>
        <v>8342.7755421655565</v>
      </c>
      <c r="S30" s="377">
        <f t="shared" si="5"/>
        <v>1125.2277526998512</v>
      </c>
      <c r="T30" s="378">
        <f t="shared" si="6"/>
        <v>2250.4555053997024</v>
      </c>
      <c r="U30" s="586">
        <f t="shared" ca="1" si="29"/>
        <v>88018.641701206056</v>
      </c>
      <c r="V30" s="379">
        <f t="shared" si="7"/>
        <v>2214.8149709809591</v>
      </c>
      <c r="W30" s="380">
        <f t="shared" si="30"/>
        <v>273.71678602949117</v>
      </c>
      <c r="X30" s="380">
        <f t="shared" si="8"/>
        <v>1812.7457743440236</v>
      </c>
      <c r="Y30" s="381">
        <f t="shared" si="9"/>
        <v>906.37288717201181</v>
      </c>
      <c r="Z30" s="382">
        <f t="shared" si="31"/>
        <v>906.37288717201181</v>
      </c>
      <c r="AA30" s="383">
        <f t="shared" si="10"/>
        <v>0</v>
      </c>
      <c r="AB30" s="384">
        <f t="shared" si="32"/>
        <v>10706.051737488144</v>
      </c>
      <c r="AC30" s="379">
        <f t="shared" ca="1" si="33"/>
        <v>5438.2373230320709</v>
      </c>
      <c r="AD30" s="380">
        <f t="shared" ca="1" si="34"/>
        <v>724.22503628093818</v>
      </c>
      <c r="AE30" s="380">
        <f t="shared" si="11"/>
        <v>0</v>
      </c>
      <c r="AF30" s="381">
        <f t="shared" si="12"/>
        <v>0</v>
      </c>
      <c r="AG30" s="382">
        <f t="shared" ca="1" si="35"/>
        <v>0</v>
      </c>
      <c r="AH30" s="383">
        <f t="shared" ca="1" si="13"/>
        <v>0</v>
      </c>
      <c r="AI30" s="384">
        <f t="shared" ca="1" si="36"/>
        <v>30303.296902010949</v>
      </c>
      <c r="AJ30" s="590">
        <f t="shared" ca="1" si="14"/>
        <v>8342.7755421655565</v>
      </c>
      <c r="AK30" s="385">
        <f t="shared" ca="1" si="15"/>
        <v>0</v>
      </c>
      <c r="AL30" s="591">
        <f t="shared" ca="1" si="37"/>
        <v>45802.056368122488</v>
      </c>
      <c r="AM30" s="388">
        <f t="shared" si="16"/>
        <v>1125.2277526998512</v>
      </c>
      <c r="AN30" s="389">
        <f t="shared" si="38"/>
        <v>231.20766439474582</v>
      </c>
      <c r="AO30" s="390">
        <f t="shared" si="39"/>
        <v>9063.3575635861234</v>
      </c>
      <c r="AP30" s="389">
        <f t="shared" si="17"/>
        <v>2250.4555053997024</v>
      </c>
      <c r="AQ30" s="389">
        <f t="shared" si="40"/>
        <v>462.41532878949164</v>
      </c>
      <c r="AR30" s="389">
        <f>AP30+AQ30+AR29</f>
        <v>18126.715127172247</v>
      </c>
      <c r="AS30" s="384">
        <f t="shared" si="42"/>
        <v>10706.051737488144</v>
      </c>
      <c r="AT30" s="390">
        <f t="shared" si="18"/>
        <v>37896.124428246512</v>
      </c>
      <c r="AU30" s="373">
        <f t="shared" si="19"/>
        <v>0.10452685910124364</v>
      </c>
      <c r="AV30" s="387">
        <f t="shared" si="43"/>
        <v>345650</v>
      </c>
      <c r="AW30" s="387">
        <f t="shared" si="20"/>
        <v>290103.87557175348</v>
      </c>
      <c r="AX30" s="374">
        <f t="shared" si="44"/>
        <v>639.62905927678253</v>
      </c>
      <c r="AY30" s="184">
        <f t="shared" si="48"/>
        <v>8</v>
      </c>
      <c r="AZ30" s="146"/>
      <c r="BA30" s="146"/>
      <c r="BB30" s="146"/>
      <c r="BC30" s="146"/>
      <c r="BD30" s="146"/>
      <c r="BE30" s="146"/>
    </row>
    <row r="31" spans="1:57">
      <c r="A31" s="360">
        <f t="shared" si="45"/>
        <v>9</v>
      </c>
      <c r="B31" s="182">
        <f t="shared" si="21"/>
        <v>371612.88374052482</v>
      </c>
      <c r="C31" s="361">
        <f t="shared" si="22"/>
        <v>23134.682595508937</v>
      </c>
      <c r="D31" s="375">
        <f t="shared" si="23"/>
        <v>639.62905927678253</v>
      </c>
      <c r="E31" s="376">
        <f t="shared" si="46"/>
        <v>22495.053536232153</v>
      </c>
      <c r="F31" s="377">
        <f t="shared" ca="1" si="24"/>
        <v>2640.5592510361816</v>
      </c>
      <c r="G31" s="377">
        <f t="shared" ca="1" si="25"/>
        <v>25135.612787268336</v>
      </c>
      <c r="H31" s="382">
        <f t="shared" si="0"/>
        <v>743.22576748104962</v>
      </c>
      <c r="I31" s="383">
        <f t="shared" si="1"/>
        <v>2924.35695971018</v>
      </c>
      <c r="J31" s="383">
        <f t="shared" ca="1" si="2"/>
        <v>929.03220935131208</v>
      </c>
      <c r="K31" s="383">
        <f t="shared" ca="1" si="3"/>
        <v>0</v>
      </c>
      <c r="L31" s="383">
        <f t="shared" ca="1" si="26"/>
        <v>0</v>
      </c>
      <c r="M31" s="386">
        <f t="shared" si="4"/>
        <v>10369.5</v>
      </c>
      <c r="N31" s="386">
        <f t="shared" ca="1" si="27"/>
        <v>14966.114936542541</v>
      </c>
      <c r="O31" s="493"/>
      <c r="P31" s="361">
        <f t="shared" ca="1" si="47"/>
        <v>10169.497850725795</v>
      </c>
      <c r="Q31" s="370">
        <f ca="1">Tax!P17</f>
        <v>-1330.5379249712344</v>
      </c>
      <c r="R31" s="570">
        <f t="shared" ca="1" si="28"/>
        <v>8838.9599257545597</v>
      </c>
      <c r="S31" s="377">
        <f t="shared" si="5"/>
        <v>1156.7341297754469</v>
      </c>
      <c r="T31" s="378">
        <f t="shared" si="6"/>
        <v>2313.4682595508939</v>
      </c>
      <c r="U31" s="586">
        <f t="shared" ca="1" si="29"/>
        <v>100327.80401628697</v>
      </c>
      <c r="V31" s="379">
        <f t="shared" si="7"/>
        <v>2249.5053536232153</v>
      </c>
      <c r="W31" s="380">
        <f t="shared" si="30"/>
        <v>321.18155212464433</v>
      </c>
      <c r="X31" s="380">
        <f t="shared" si="8"/>
        <v>1858.0644187026242</v>
      </c>
      <c r="Y31" s="381">
        <f t="shared" si="9"/>
        <v>929.03220935131208</v>
      </c>
      <c r="Z31" s="382">
        <f t="shared" si="31"/>
        <v>929.03220935131208</v>
      </c>
      <c r="AA31" s="383">
        <f t="shared" si="10"/>
        <v>0</v>
      </c>
      <c r="AB31" s="384">
        <f t="shared" si="32"/>
        <v>12347.706433884692</v>
      </c>
      <c r="AC31" s="379">
        <f t="shared" ca="1" si="33"/>
        <v>5574.193256107872</v>
      </c>
      <c r="AD31" s="380">
        <f t="shared" ca="1" si="34"/>
        <v>909.09890706032843</v>
      </c>
      <c r="AE31" s="380">
        <f t="shared" si="11"/>
        <v>0</v>
      </c>
      <c r="AF31" s="381">
        <f t="shared" si="12"/>
        <v>0</v>
      </c>
      <c r="AG31" s="382">
        <f t="shared" ca="1" si="35"/>
        <v>0</v>
      </c>
      <c r="AH31" s="383">
        <f t="shared" ca="1" si="13"/>
        <v>0</v>
      </c>
      <c r="AI31" s="384">
        <f t="shared" ca="1" si="36"/>
        <v>36786.589065179149</v>
      </c>
      <c r="AJ31" s="590">
        <f t="shared" ca="1" si="14"/>
        <v>8838.9599257545597</v>
      </c>
      <c r="AK31" s="385">
        <f t="shared" ca="1" si="15"/>
        <v>0</v>
      </c>
      <c r="AL31" s="591">
        <f t="shared" ca="1" si="37"/>
        <v>54641.016293877052</v>
      </c>
      <c r="AM31" s="388">
        <f t="shared" si="16"/>
        <v>1156.7341297754469</v>
      </c>
      <c r="AN31" s="389">
        <f t="shared" si="38"/>
        <v>271.9007269075837</v>
      </c>
      <c r="AO31" s="390">
        <f t="shared" si="39"/>
        <v>10491.992420269155</v>
      </c>
      <c r="AP31" s="389">
        <f t="shared" si="17"/>
        <v>2313.4682595508939</v>
      </c>
      <c r="AQ31" s="389">
        <f t="shared" si="40"/>
        <v>543.80145381516741</v>
      </c>
      <c r="AR31" s="389">
        <f t="shared" si="41"/>
        <v>20983.984840538309</v>
      </c>
      <c r="AS31" s="384">
        <f t="shared" si="42"/>
        <v>12347.706433884692</v>
      </c>
      <c r="AT31" s="390">
        <f t="shared" si="18"/>
        <v>43823.683694692154</v>
      </c>
      <c r="AU31" s="373">
        <f t="shared" si="19"/>
        <v>0.11792832168136459</v>
      </c>
      <c r="AV31" s="387">
        <f t="shared" si="43"/>
        <v>345650</v>
      </c>
      <c r="AW31" s="387">
        <f t="shared" si="20"/>
        <v>284176.31630530785</v>
      </c>
      <c r="AX31" s="374">
        <f t="shared" si="44"/>
        <v>937.92801735219939</v>
      </c>
      <c r="AY31" s="184">
        <f t="shared" si="48"/>
        <v>9</v>
      </c>
      <c r="AZ31" s="146"/>
      <c r="BA31" s="146"/>
      <c r="BB31" s="146"/>
      <c r="BC31" s="146"/>
      <c r="BD31" s="146"/>
      <c r="BE31" s="146"/>
    </row>
    <row r="32" spans="1:57">
      <c r="A32" s="360">
        <f t="shared" si="45"/>
        <v>10</v>
      </c>
      <c r="B32" s="182">
        <f t="shared" si="21"/>
        <v>380903.20583403792</v>
      </c>
      <c r="C32" s="361">
        <f t="shared" si="22"/>
        <v>23782.453708183188</v>
      </c>
      <c r="D32" s="375">
        <f t="shared" si="23"/>
        <v>937.92801735219939</v>
      </c>
      <c r="E32" s="376">
        <f t="shared" si="46"/>
        <v>22844.525690830989</v>
      </c>
      <c r="F32" s="377">
        <f t="shared" ca="1" si="24"/>
        <v>3009.8341204886092</v>
      </c>
      <c r="G32" s="377">
        <f t="shared" ca="1" si="25"/>
        <v>25854.359811319599</v>
      </c>
      <c r="H32" s="382">
        <f t="shared" si="0"/>
        <v>761.80641166807584</v>
      </c>
      <c r="I32" s="383">
        <f t="shared" si="1"/>
        <v>2969.7883398080289</v>
      </c>
      <c r="J32" s="383">
        <f t="shared" ca="1" si="2"/>
        <v>29519.998452137937</v>
      </c>
      <c r="K32" s="383">
        <f t="shared" ca="1" si="3"/>
        <v>0</v>
      </c>
      <c r="L32" s="383">
        <f t="shared" ca="1" si="26"/>
        <v>0</v>
      </c>
      <c r="M32" s="386">
        <f t="shared" si="4"/>
        <v>10369.5</v>
      </c>
      <c r="N32" s="386">
        <f t="shared" ca="1" si="27"/>
        <v>43621.093203614044</v>
      </c>
      <c r="O32" s="493"/>
      <c r="P32" s="361">
        <f t="shared" ca="1" si="47"/>
        <v>-17766.733392294445</v>
      </c>
      <c r="Q32" s="370">
        <f ca="1">Tax!Q17</f>
        <v>0</v>
      </c>
      <c r="R32" s="570">
        <f t="shared" ca="1" si="28"/>
        <v>-17766.733392294445</v>
      </c>
      <c r="S32" s="377">
        <f t="shared" si="5"/>
        <v>1189.1226854091594</v>
      </c>
      <c r="T32" s="378">
        <f t="shared" si="6"/>
        <v>2378.2453708183189</v>
      </c>
      <c r="U32" s="586">
        <f t="shared" ca="1" si="29"/>
        <v>86128.438680220002</v>
      </c>
      <c r="V32" s="379">
        <f t="shared" si="7"/>
        <v>2284.4525690830992</v>
      </c>
      <c r="W32" s="380">
        <f t="shared" si="30"/>
        <v>370.43119301654076</v>
      </c>
      <c r="X32" s="380">
        <f t="shared" si="8"/>
        <v>1904.5160291701895</v>
      </c>
      <c r="Y32" s="381">
        <f t="shared" si="9"/>
        <v>952.25801458509477</v>
      </c>
      <c r="Z32" s="382">
        <f t="shared" si="31"/>
        <v>952.25801458509477</v>
      </c>
      <c r="AA32" s="383">
        <f t="shared" si="10"/>
        <v>0</v>
      </c>
      <c r="AB32" s="384">
        <f t="shared" si="32"/>
        <v>14050.332181399237</v>
      </c>
      <c r="AC32" s="379">
        <f t="shared" ca="1" si="33"/>
        <v>5713.5480875105686</v>
      </c>
      <c r="AD32" s="380">
        <f t="shared" ca="1" si="34"/>
        <v>1103.5976719553744</v>
      </c>
      <c r="AE32" s="380">
        <f t="shared" si="11"/>
        <v>57135.480875105684</v>
      </c>
      <c r="AF32" s="381">
        <f t="shared" si="12"/>
        <v>28567.740437552842</v>
      </c>
      <c r="AG32" s="382">
        <f t="shared" ca="1" si="35"/>
        <v>28567.740437552842</v>
      </c>
      <c r="AH32" s="383">
        <f t="shared" ca="1" si="13"/>
        <v>0</v>
      </c>
      <c r="AI32" s="384">
        <f t="shared" ca="1" si="36"/>
        <v>15035.994387092251</v>
      </c>
      <c r="AJ32" s="590">
        <f t="shared" ca="1" si="14"/>
        <v>-17766.733392294445</v>
      </c>
      <c r="AK32" s="385">
        <f t="shared" ca="1" si="15"/>
        <v>0</v>
      </c>
      <c r="AL32" s="591">
        <f t="shared" ca="1" si="37"/>
        <v>36874.282901582606</v>
      </c>
      <c r="AM32" s="388">
        <f t="shared" si="16"/>
        <v>1189.1226854091594</v>
      </c>
      <c r="AN32" s="389">
        <f t="shared" si="38"/>
        <v>314.75977260807463</v>
      </c>
      <c r="AO32" s="390">
        <f t="shared" si="39"/>
        <v>11995.874878286388</v>
      </c>
      <c r="AP32" s="389">
        <f t="shared" si="17"/>
        <v>2378.2453708183189</v>
      </c>
      <c r="AQ32" s="389">
        <f t="shared" si="40"/>
        <v>629.51954521614925</v>
      </c>
      <c r="AR32" s="389">
        <f t="shared" si="41"/>
        <v>23991.749756572775</v>
      </c>
      <c r="AS32" s="384">
        <f t="shared" ca="1" si="42"/>
        <v>29086.326568491488</v>
      </c>
      <c r="AT32" s="390">
        <f t="shared" ca="1" si="18"/>
        <v>65073.951203350654</v>
      </c>
      <c r="AU32" s="373">
        <f t="shared" ca="1" si="19"/>
        <v>0.17084117488815206</v>
      </c>
      <c r="AV32" s="387">
        <f t="shared" si="43"/>
        <v>345650</v>
      </c>
      <c r="AW32" s="387">
        <f t="shared" ca="1" si="20"/>
        <v>262926.04879664932</v>
      </c>
      <c r="AX32" s="374">
        <f t="shared" si="44"/>
        <v>1251.9386745861975</v>
      </c>
      <c r="AY32" s="184">
        <f t="shared" si="48"/>
        <v>10</v>
      </c>
      <c r="AZ32" s="146">
        <v>2.4</v>
      </c>
      <c r="BA32" s="146"/>
      <c r="BB32" s="146"/>
      <c r="BC32" s="146"/>
      <c r="BD32" s="146"/>
      <c r="BE32" s="146"/>
    </row>
    <row r="33" spans="1:57">
      <c r="A33" s="360">
        <f t="shared" si="45"/>
        <v>11</v>
      </c>
      <c r="B33" s="182">
        <f t="shared" si="21"/>
        <v>390425.78597988881</v>
      </c>
      <c r="C33" s="361">
        <f t="shared" si="22"/>
        <v>24448.362412012317</v>
      </c>
      <c r="D33" s="375">
        <f t="shared" si="23"/>
        <v>1251.9386745861975</v>
      </c>
      <c r="E33" s="376">
        <f t="shared" si="46"/>
        <v>23196.423737426121</v>
      </c>
      <c r="F33" s="377">
        <f t="shared" ca="1" si="24"/>
        <v>2583.8531604066002</v>
      </c>
      <c r="G33" s="377">
        <f t="shared" ca="1" si="25"/>
        <v>25780.276897832722</v>
      </c>
      <c r="H33" s="382">
        <f t="shared" si="0"/>
        <v>780.85157195977763</v>
      </c>
      <c r="I33" s="383">
        <f t="shared" si="1"/>
        <v>3015.535085865396</v>
      </c>
      <c r="J33" s="383">
        <f t="shared" ca="1" si="2"/>
        <v>976.06446494972204</v>
      </c>
      <c r="K33" s="383">
        <f t="shared" ca="1" si="3"/>
        <v>0</v>
      </c>
      <c r="L33" s="383">
        <f t="shared" ca="1" si="26"/>
        <v>0</v>
      </c>
      <c r="M33" s="386">
        <f t="shared" si="4"/>
        <v>10369.5</v>
      </c>
      <c r="N33" s="386">
        <f t="shared" ca="1" si="27"/>
        <v>15141.951122774895</v>
      </c>
      <c r="O33" s="493"/>
      <c r="P33" s="361">
        <f t="shared" ca="1" si="47"/>
        <v>10638.325775057827</v>
      </c>
      <c r="Q33" s="370">
        <f ca="1">Tax!R17</f>
        <v>0</v>
      </c>
      <c r="R33" s="570">
        <f t="shared" ca="1" si="28"/>
        <v>10638.325775057827</v>
      </c>
      <c r="S33" s="377">
        <f t="shared" si="5"/>
        <v>1222.4181206006158</v>
      </c>
      <c r="T33" s="378">
        <f t="shared" si="6"/>
        <v>2444.8362412012316</v>
      </c>
      <c r="U33" s="586">
        <f t="shared" ca="1" si="29"/>
        <v>100434.01881707968</v>
      </c>
      <c r="V33" s="379">
        <f t="shared" si="7"/>
        <v>2319.6423737426121</v>
      </c>
      <c r="W33" s="380">
        <f t="shared" si="30"/>
        <v>421.5099654419771</v>
      </c>
      <c r="X33" s="380">
        <f t="shared" si="8"/>
        <v>1952.1289298994441</v>
      </c>
      <c r="Y33" s="381">
        <f t="shared" si="9"/>
        <v>976.06446494972204</v>
      </c>
      <c r="Z33" s="382">
        <f t="shared" si="31"/>
        <v>976.06446494972204</v>
      </c>
      <c r="AA33" s="383">
        <f t="shared" si="10"/>
        <v>0</v>
      </c>
      <c r="AB33" s="384">
        <f t="shared" si="32"/>
        <v>15815.420055634104</v>
      </c>
      <c r="AC33" s="379">
        <f t="shared" ca="1" si="33"/>
        <v>5856.386789698332</v>
      </c>
      <c r="AD33" s="380">
        <f t="shared" ca="1" si="34"/>
        <v>451.07983161276752</v>
      </c>
      <c r="AE33" s="380">
        <f t="shared" si="11"/>
        <v>0</v>
      </c>
      <c r="AF33" s="381">
        <f t="shared" si="12"/>
        <v>0</v>
      </c>
      <c r="AG33" s="382">
        <f t="shared" ca="1" si="35"/>
        <v>0</v>
      </c>
      <c r="AH33" s="383">
        <f t="shared" ca="1" si="13"/>
        <v>0</v>
      </c>
      <c r="AI33" s="384">
        <f t="shared" ca="1" si="36"/>
        <v>21343.461008403348</v>
      </c>
      <c r="AJ33" s="590">
        <f t="shared" ca="1" si="14"/>
        <v>10638.325775057827</v>
      </c>
      <c r="AK33" s="385">
        <f t="shared" ca="1" si="15"/>
        <v>0</v>
      </c>
      <c r="AL33" s="591">
        <f t="shared" ca="1" si="37"/>
        <v>47512.608676640433</v>
      </c>
      <c r="AM33" s="388">
        <f t="shared" si="16"/>
        <v>1222.4181206006158</v>
      </c>
      <c r="AN33" s="389">
        <f t="shared" si="38"/>
        <v>359.87624634859162</v>
      </c>
      <c r="AO33" s="390">
        <f t="shared" si="39"/>
        <v>13578.169245235595</v>
      </c>
      <c r="AP33" s="389">
        <f t="shared" si="17"/>
        <v>2444.8362412012316</v>
      </c>
      <c r="AQ33" s="389">
        <f t="shared" si="40"/>
        <v>719.75249269718324</v>
      </c>
      <c r="AR33" s="389">
        <f t="shared" si="41"/>
        <v>27156.338490471189</v>
      </c>
      <c r="AS33" s="384">
        <f t="shared" si="42"/>
        <v>15815.420055634104</v>
      </c>
      <c r="AT33" s="390">
        <f t="shared" si="18"/>
        <v>56549.927791340888</v>
      </c>
      <c r="AU33" s="373">
        <f t="shared" si="19"/>
        <v>0.14484168265016653</v>
      </c>
      <c r="AV33" s="387">
        <f t="shared" si="43"/>
        <v>345650</v>
      </c>
      <c r="AW33" s="387">
        <f t="shared" si="20"/>
        <v>271450.07220865914</v>
      </c>
      <c r="AX33" s="374">
        <f t="shared" si="44"/>
        <v>1582.321738405192</v>
      </c>
      <c r="AY33" s="184">
        <f t="shared" si="48"/>
        <v>11</v>
      </c>
      <c r="AZ33" s="146"/>
      <c r="BA33" s="146"/>
      <c r="BB33" s="146"/>
      <c r="BC33" s="146"/>
      <c r="BD33" s="146"/>
      <c r="BE33" s="146"/>
    </row>
    <row r="34" spans="1:57">
      <c r="A34" s="360">
        <f t="shared" si="45"/>
        <v>12</v>
      </c>
      <c r="B34" s="182">
        <f t="shared" si="21"/>
        <v>400186.43062938598</v>
      </c>
      <c r="C34" s="361">
        <f t="shared" si="22"/>
        <v>25132.916559548663</v>
      </c>
      <c r="D34" s="375">
        <f t="shared" si="23"/>
        <v>1582.321738405192</v>
      </c>
      <c r="E34" s="376">
        <f t="shared" si="46"/>
        <v>23550.59482114347</v>
      </c>
      <c r="F34" s="377">
        <f t="shared" ca="1" si="24"/>
        <v>3013.0205645123901</v>
      </c>
      <c r="G34" s="377">
        <f t="shared" ca="1" si="25"/>
        <v>26563.615385655859</v>
      </c>
      <c r="H34" s="382">
        <f t="shared" si="0"/>
        <v>800.37286125877199</v>
      </c>
      <c r="I34" s="383">
        <f t="shared" si="1"/>
        <v>3061.5773267486511</v>
      </c>
      <c r="J34" s="383">
        <f t="shared" ca="1" si="2"/>
        <v>1000.466076573465</v>
      </c>
      <c r="K34" s="383">
        <f t="shared" ca="1" si="3"/>
        <v>0</v>
      </c>
      <c r="L34" s="383">
        <f t="shared" ca="1" si="26"/>
        <v>0</v>
      </c>
      <c r="M34" s="386">
        <f t="shared" si="4"/>
        <v>10369.5</v>
      </c>
      <c r="N34" s="386">
        <f t="shared" ca="1" si="27"/>
        <v>15231.916264580888</v>
      </c>
      <c r="O34" s="493"/>
      <c r="P34" s="361">
        <f t="shared" ca="1" si="47"/>
        <v>11331.699121074971</v>
      </c>
      <c r="Q34" s="370">
        <f ca="1">Tax!S17</f>
        <v>0</v>
      </c>
      <c r="R34" s="570">
        <f t="shared" ca="1" si="28"/>
        <v>11331.699121074971</v>
      </c>
      <c r="S34" s="377">
        <f t="shared" si="5"/>
        <v>1256.6458279774333</v>
      </c>
      <c r="T34" s="378">
        <f t="shared" si="6"/>
        <v>2513.2916559548667</v>
      </c>
      <c r="U34" s="586">
        <f t="shared" ca="1" si="29"/>
        <v>115535.65542208694</v>
      </c>
      <c r="V34" s="379">
        <f t="shared" si="7"/>
        <v>2355.0594821143472</v>
      </c>
      <c r="W34" s="380">
        <f t="shared" si="30"/>
        <v>474.46260166902312</v>
      </c>
      <c r="X34" s="380">
        <f t="shared" si="8"/>
        <v>2000.93215314693</v>
      </c>
      <c r="Y34" s="381">
        <f t="shared" si="9"/>
        <v>1000.466076573465</v>
      </c>
      <c r="Z34" s="382">
        <f t="shared" si="31"/>
        <v>1000.466076573465</v>
      </c>
      <c r="AA34" s="383">
        <f t="shared" si="10"/>
        <v>0</v>
      </c>
      <c r="AB34" s="384">
        <f t="shared" si="32"/>
        <v>17644.476062844009</v>
      </c>
      <c r="AC34" s="379">
        <f t="shared" ca="1" si="33"/>
        <v>6002.7964594407895</v>
      </c>
      <c r="AD34" s="380">
        <f t="shared" ca="1" si="34"/>
        <v>640.3038302521004</v>
      </c>
      <c r="AE34" s="380">
        <f t="shared" si="11"/>
        <v>0</v>
      </c>
      <c r="AF34" s="381">
        <f t="shared" si="12"/>
        <v>0</v>
      </c>
      <c r="AG34" s="382">
        <f t="shared" ca="1" si="35"/>
        <v>0</v>
      </c>
      <c r="AH34" s="383">
        <f t="shared" ca="1" si="13"/>
        <v>0</v>
      </c>
      <c r="AI34" s="384">
        <f t="shared" ca="1" si="36"/>
        <v>27986.56129809624</v>
      </c>
      <c r="AJ34" s="590">
        <f t="shared" ca="1" si="14"/>
        <v>11331.699121074971</v>
      </c>
      <c r="AK34" s="385">
        <f t="shared" ca="1" si="15"/>
        <v>0</v>
      </c>
      <c r="AL34" s="591">
        <f t="shared" ca="1" si="37"/>
        <v>58844.307797715403</v>
      </c>
      <c r="AM34" s="388">
        <f t="shared" si="16"/>
        <v>1256.6458279774333</v>
      </c>
      <c r="AN34" s="389">
        <f t="shared" si="38"/>
        <v>407.34507735706785</v>
      </c>
      <c r="AO34" s="390">
        <f t="shared" si="39"/>
        <v>15242.160150570096</v>
      </c>
      <c r="AP34" s="389">
        <f t="shared" si="17"/>
        <v>2513.2916559548667</v>
      </c>
      <c r="AQ34" s="389">
        <f t="shared" si="40"/>
        <v>814.6901547141357</v>
      </c>
      <c r="AR34" s="389">
        <f t="shared" si="41"/>
        <v>30484.320301140193</v>
      </c>
      <c r="AS34" s="384">
        <f t="shared" si="42"/>
        <v>17644.476062844009</v>
      </c>
      <c r="AT34" s="390">
        <f t="shared" si="18"/>
        <v>63370.956514554302</v>
      </c>
      <c r="AU34" s="373">
        <f t="shared" si="19"/>
        <v>0.15835358638944547</v>
      </c>
      <c r="AV34" s="387">
        <f t="shared" si="43"/>
        <v>345650</v>
      </c>
      <c r="AW34" s="387">
        <f t="shared" si="20"/>
        <v>264629.04348544567</v>
      </c>
      <c r="AX34" s="374">
        <f t="shared" si="44"/>
        <v>1929.7630394390362</v>
      </c>
      <c r="AY34" s="184">
        <f t="shared" si="48"/>
        <v>12</v>
      </c>
      <c r="AZ34" s="146"/>
      <c r="BA34" s="146"/>
      <c r="BB34" s="146"/>
      <c r="BC34" s="146"/>
      <c r="BD34" s="146"/>
      <c r="BE34" s="146"/>
    </row>
    <row r="35" spans="1:57">
      <c r="A35" s="360">
        <f t="shared" si="45"/>
        <v>13</v>
      </c>
      <c r="B35" s="182">
        <f t="shared" si="21"/>
        <v>410191.0913951206</v>
      </c>
      <c r="C35" s="361">
        <f t="shared" si="22"/>
        <v>25836.638223216025</v>
      </c>
      <c r="D35" s="375">
        <f t="shared" si="23"/>
        <v>1929.7630394390362</v>
      </c>
      <c r="E35" s="376">
        <f t="shared" si="46"/>
        <v>23906.875183776989</v>
      </c>
      <c r="F35" s="377">
        <f t="shared" ca="1" si="24"/>
        <v>3466.0696626626082</v>
      </c>
      <c r="G35" s="377">
        <f t="shared" ca="1" si="25"/>
        <v>27372.944846439597</v>
      </c>
      <c r="H35" s="382">
        <f t="shared" si="0"/>
        <v>820.38218279024125</v>
      </c>
      <c r="I35" s="383">
        <f t="shared" si="1"/>
        <v>3107.8937738910085</v>
      </c>
      <c r="J35" s="383">
        <f t="shared" ca="1" si="2"/>
        <v>1025.4777284878014</v>
      </c>
      <c r="K35" s="383">
        <f t="shared" ca="1" si="3"/>
        <v>0</v>
      </c>
      <c r="L35" s="383">
        <f t="shared" ca="1" si="26"/>
        <v>0</v>
      </c>
      <c r="M35" s="386">
        <f t="shared" si="4"/>
        <v>10369.5</v>
      </c>
      <c r="N35" s="386">
        <f t="shared" ca="1" si="27"/>
        <v>15323.253685169051</v>
      </c>
      <c r="O35" s="493"/>
      <c r="P35" s="361">
        <f t="shared" ca="1" si="47"/>
        <v>12049.691161270546</v>
      </c>
      <c r="Q35" s="370">
        <f ca="1">Tax!T17</f>
        <v>-681.4000397040237</v>
      </c>
      <c r="R35" s="570">
        <f t="shared" ca="1" si="28"/>
        <v>11368.291121566523</v>
      </c>
      <c r="S35" s="377">
        <f t="shared" si="5"/>
        <v>1291.8319111608014</v>
      </c>
      <c r="T35" s="378">
        <f t="shared" si="6"/>
        <v>2583.6638223216028</v>
      </c>
      <c r="U35" s="586">
        <f t="shared" ca="1" si="29"/>
        <v>130779.44227713585</v>
      </c>
      <c r="V35" s="379">
        <f t="shared" si="7"/>
        <v>2390.6875183776988</v>
      </c>
      <c r="W35" s="380">
        <f t="shared" si="30"/>
        <v>529.33428188532025</v>
      </c>
      <c r="X35" s="380">
        <f t="shared" si="8"/>
        <v>2050.9554569756028</v>
      </c>
      <c r="Y35" s="381">
        <f t="shared" si="9"/>
        <v>1025.4777284878014</v>
      </c>
      <c r="Z35" s="382">
        <f t="shared" si="31"/>
        <v>1025.4777284878014</v>
      </c>
      <c r="AA35" s="383">
        <f t="shared" si="10"/>
        <v>0</v>
      </c>
      <c r="AB35" s="384">
        <f t="shared" si="32"/>
        <v>19539.020134619226</v>
      </c>
      <c r="AC35" s="379">
        <f t="shared" ca="1" si="33"/>
        <v>6152.8663709268085</v>
      </c>
      <c r="AD35" s="380">
        <f t="shared" ca="1" si="34"/>
        <v>839.59683894288719</v>
      </c>
      <c r="AE35" s="380">
        <f t="shared" si="11"/>
        <v>0</v>
      </c>
      <c r="AF35" s="381">
        <f t="shared" si="12"/>
        <v>0</v>
      </c>
      <c r="AG35" s="382">
        <f t="shared" ca="1" si="35"/>
        <v>0</v>
      </c>
      <c r="AH35" s="383">
        <f t="shared" ca="1" si="13"/>
        <v>0</v>
      </c>
      <c r="AI35" s="384">
        <f t="shared" ca="1" si="36"/>
        <v>34979.024507965936</v>
      </c>
      <c r="AJ35" s="590">
        <f t="shared" ca="1" si="14"/>
        <v>11368.291121566523</v>
      </c>
      <c r="AK35" s="385">
        <f t="shared" ca="1" si="15"/>
        <v>0</v>
      </c>
      <c r="AL35" s="591">
        <f t="shared" ca="1" si="37"/>
        <v>70212.598919281925</v>
      </c>
      <c r="AM35" s="388">
        <f t="shared" si="16"/>
        <v>1291.8319111608014</v>
      </c>
      <c r="AN35" s="389">
        <f t="shared" si="38"/>
        <v>457.2648045171029</v>
      </c>
      <c r="AO35" s="390">
        <f t="shared" si="39"/>
        <v>16991.256866248001</v>
      </c>
      <c r="AP35" s="389">
        <f t="shared" si="17"/>
        <v>2583.6638223216028</v>
      </c>
      <c r="AQ35" s="389">
        <f t="shared" si="40"/>
        <v>914.52960903420581</v>
      </c>
      <c r="AR35" s="389">
        <f t="shared" si="41"/>
        <v>33982.513732496001</v>
      </c>
      <c r="AS35" s="384">
        <f t="shared" si="42"/>
        <v>19539.020134619226</v>
      </c>
      <c r="AT35" s="390">
        <f t="shared" si="18"/>
        <v>70512.790733363217</v>
      </c>
      <c r="AU35" s="373">
        <f t="shared" si="19"/>
        <v>0.17190229678937877</v>
      </c>
      <c r="AV35" s="387">
        <f t="shared" si="43"/>
        <v>345650</v>
      </c>
      <c r="AW35" s="387">
        <f t="shared" si="20"/>
        <v>257487.20926663678</v>
      </c>
      <c r="AX35" s="374">
        <f t="shared" si="44"/>
        <v>0</v>
      </c>
      <c r="AY35" s="184">
        <f>AY34+1</f>
        <v>13</v>
      </c>
      <c r="AZ35" s="146"/>
      <c r="BA35" s="146"/>
      <c r="BB35" s="146"/>
      <c r="BC35" s="146"/>
      <c r="BD35" s="146"/>
      <c r="BE35" s="146"/>
    </row>
    <row r="36" spans="1:57">
      <c r="A36" s="360">
        <f t="shared" si="45"/>
        <v>14</v>
      </c>
      <c r="B36" s="182">
        <f t="shared" si="21"/>
        <v>420445.86867999856</v>
      </c>
      <c r="C36" s="361">
        <f t="shared" si="22"/>
        <v>26560.064093466073</v>
      </c>
      <c r="D36" s="375">
        <f t="shared" si="23"/>
        <v>0</v>
      </c>
      <c r="E36" s="376">
        <f t="shared" si="46"/>
        <v>26560.064093466073</v>
      </c>
      <c r="F36" s="377">
        <f t="shared" ca="1" si="24"/>
        <v>3923.3832683140754</v>
      </c>
      <c r="G36" s="377">
        <f t="shared" ca="1" si="25"/>
        <v>30483.447361780149</v>
      </c>
      <c r="H36" s="382">
        <f t="shared" si="0"/>
        <v>840.89173735999714</v>
      </c>
      <c r="I36" s="383">
        <f t="shared" si="1"/>
        <v>3452.8083321505896</v>
      </c>
      <c r="J36" s="383">
        <f t="shared" ca="1" si="2"/>
        <v>1051.1146716999965</v>
      </c>
      <c r="K36" s="383">
        <f t="shared" ca="1" si="3"/>
        <v>0</v>
      </c>
      <c r="L36" s="383">
        <f t="shared" ca="1" si="26"/>
        <v>0</v>
      </c>
      <c r="M36" s="386">
        <f t="shared" si="4"/>
        <v>10369.5</v>
      </c>
      <c r="N36" s="386">
        <f t="shared" ca="1" si="27"/>
        <v>15714.314741210583</v>
      </c>
      <c r="O36" s="493"/>
      <c r="P36" s="361">
        <f t="shared" ca="1" si="47"/>
        <v>14769.132620569566</v>
      </c>
      <c r="Q36" s="370">
        <f ca="1">Tax!U17</f>
        <v>-2204.4685312415509</v>
      </c>
      <c r="R36" s="570">
        <f t="shared" ca="1" si="28"/>
        <v>12564.664089328015</v>
      </c>
      <c r="S36" s="377">
        <f t="shared" si="5"/>
        <v>1328.0032046733038</v>
      </c>
      <c r="T36" s="378">
        <f t="shared" si="6"/>
        <v>2656.0064093466076</v>
      </c>
      <c r="U36" s="586">
        <f t="shared" ca="1" si="29"/>
        <v>147328.1159804838</v>
      </c>
      <c r="V36" s="379">
        <f t="shared" si="7"/>
        <v>2656.0064093466076</v>
      </c>
      <c r="W36" s="380">
        <f t="shared" si="30"/>
        <v>586.17060403857681</v>
      </c>
      <c r="X36" s="380">
        <f t="shared" si="8"/>
        <v>2102.229343399993</v>
      </c>
      <c r="Y36" s="381">
        <f t="shared" si="9"/>
        <v>1051.1146716999965</v>
      </c>
      <c r="Z36" s="382">
        <f t="shared" si="31"/>
        <v>1051.1146716999965</v>
      </c>
      <c r="AA36" s="383">
        <f t="shared" si="10"/>
        <v>0</v>
      </c>
      <c r="AB36" s="384">
        <f t="shared" si="32"/>
        <v>21730.082476304415</v>
      </c>
      <c r="AC36" s="379">
        <f t="shared" ca="1" si="33"/>
        <v>6306.6880301999781</v>
      </c>
      <c r="AD36" s="380">
        <f t="shared" ca="1" si="34"/>
        <v>1049.3707352389781</v>
      </c>
      <c r="AE36" s="380">
        <f t="shared" si="11"/>
        <v>0</v>
      </c>
      <c r="AF36" s="381">
        <f t="shared" si="12"/>
        <v>0</v>
      </c>
      <c r="AG36" s="382">
        <f t="shared" ca="1" si="35"/>
        <v>0</v>
      </c>
      <c r="AH36" s="383">
        <f t="shared" ca="1" si="13"/>
        <v>0</v>
      </c>
      <c r="AI36" s="384">
        <f t="shared" ca="1" si="36"/>
        <v>42335.083273404889</v>
      </c>
      <c r="AJ36" s="590">
        <f t="shared" ca="1" si="14"/>
        <v>12564.664089328015</v>
      </c>
      <c r="AK36" s="385">
        <f t="shared" ca="1" si="15"/>
        <v>0</v>
      </c>
      <c r="AL36" s="591">
        <f t="shared" ca="1" si="37"/>
        <v>82777.263008609938</v>
      </c>
      <c r="AM36" s="388">
        <f t="shared" si="16"/>
        <v>1328.0032046733038</v>
      </c>
      <c r="AN36" s="389">
        <f t="shared" si="38"/>
        <v>509.73770598743999</v>
      </c>
      <c r="AO36" s="390">
        <f t="shared" si="39"/>
        <v>18828.997776908745</v>
      </c>
      <c r="AP36" s="389">
        <f t="shared" si="17"/>
        <v>2656.0064093466076</v>
      </c>
      <c r="AQ36" s="389">
        <f t="shared" si="40"/>
        <v>1019.47541197488</v>
      </c>
      <c r="AR36" s="389">
        <f t="shared" si="41"/>
        <v>37657.995553817491</v>
      </c>
      <c r="AS36" s="384">
        <f t="shared" si="42"/>
        <v>21730.082476304415</v>
      </c>
      <c r="AT36" s="390">
        <f t="shared" si="18"/>
        <v>78217.075807030662</v>
      </c>
      <c r="AU36" s="373">
        <f t="shared" si="19"/>
        <v>0.18603364103111616</v>
      </c>
      <c r="AV36" s="387">
        <f t="shared" si="43"/>
        <v>345650</v>
      </c>
      <c r="AW36" s="387">
        <f t="shared" si="20"/>
        <v>249782.92419296934</v>
      </c>
      <c r="AX36" s="374">
        <f t="shared" si="44"/>
        <v>0</v>
      </c>
      <c r="AY36" s="184">
        <f>AY35+1</f>
        <v>14</v>
      </c>
      <c r="AZ36" s="146"/>
      <c r="BA36" s="146"/>
      <c r="BB36" s="146"/>
      <c r="BC36" s="146"/>
      <c r="BD36" s="146"/>
      <c r="BE36" s="146"/>
    </row>
    <row r="37" spans="1:57">
      <c r="A37" s="360">
        <f t="shared" si="45"/>
        <v>15</v>
      </c>
      <c r="B37" s="182">
        <f t="shared" si="21"/>
        <v>430957.0153969985</v>
      </c>
      <c r="C37" s="361">
        <f t="shared" si="22"/>
        <v>27303.745888083125</v>
      </c>
      <c r="D37" s="375">
        <f t="shared" si="23"/>
        <v>0</v>
      </c>
      <c r="E37" s="376">
        <f t="shared" si="46"/>
        <v>27303.745888083125</v>
      </c>
      <c r="F37" s="377">
        <f t="shared" ca="1" si="24"/>
        <v>4419.8434794145141</v>
      </c>
      <c r="G37" s="377">
        <f t="shared" ca="1" si="25"/>
        <v>31723.58936749764</v>
      </c>
      <c r="H37" s="382">
        <f t="shared" si="0"/>
        <v>861.91403079399697</v>
      </c>
      <c r="I37" s="383">
        <f t="shared" si="1"/>
        <v>3549.4869654508066</v>
      </c>
      <c r="J37" s="383">
        <f t="shared" ca="1" si="2"/>
        <v>1077.3925384924962</v>
      </c>
      <c r="K37" s="383">
        <f t="shared" ca="1" si="3"/>
        <v>0</v>
      </c>
      <c r="L37" s="383">
        <f t="shared" ca="1" si="26"/>
        <v>0</v>
      </c>
      <c r="M37" s="386">
        <f t="shared" si="4"/>
        <v>10369.5</v>
      </c>
      <c r="N37" s="386">
        <f t="shared" ca="1" si="27"/>
        <v>15858.293534737299</v>
      </c>
      <c r="O37" s="493"/>
      <c r="P37" s="361">
        <f t="shared" ca="1" si="47"/>
        <v>15865.295832760341</v>
      </c>
      <c r="Q37" s="370">
        <f ca="1">Tax!V17</f>
        <v>-2412.739541557798</v>
      </c>
      <c r="R37" s="570">
        <f t="shared" ca="1" si="28"/>
        <v>13452.556291202543</v>
      </c>
      <c r="S37" s="377">
        <f t="shared" si="5"/>
        <v>1365.1872944041563</v>
      </c>
      <c r="T37" s="378">
        <f t="shared" si="6"/>
        <v>2730.3745888083126</v>
      </c>
      <c r="U37" s="586">
        <f t="shared" ca="1" si="29"/>
        <v>164876.23415489879</v>
      </c>
      <c r="V37" s="379">
        <f t="shared" si="7"/>
        <v>2730.3745888083126</v>
      </c>
      <c r="W37" s="380">
        <f t="shared" si="30"/>
        <v>651.90247428913244</v>
      </c>
      <c r="X37" s="380">
        <f t="shared" si="8"/>
        <v>2154.7850769849924</v>
      </c>
      <c r="Y37" s="381">
        <f t="shared" si="9"/>
        <v>1077.3925384924962</v>
      </c>
      <c r="Z37" s="382">
        <f t="shared" si="31"/>
        <v>1077.3925384924962</v>
      </c>
      <c r="AA37" s="383">
        <f t="shared" si="10"/>
        <v>0</v>
      </c>
      <c r="AB37" s="384">
        <f t="shared" si="32"/>
        <v>24034.967000909364</v>
      </c>
      <c r="AC37" s="379">
        <f t="shared" ca="1" si="33"/>
        <v>6464.3552309549768</v>
      </c>
      <c r="AD37" s="380">
        <f t="shared" ca="1" si="34"/>
        <v>1270.0524982021466</v>
      </c>
      <c r="AE37" s="380">
        <f t="shared" si="11"/>
        <v>0</v>
      </c>
      <c r="AF37" s="381">
        <f t="shared" si="12"/>
        <v>0</v>
      </c>
      <c r="AG37" s="382">
        <f t="shared" ca="1" si="35"/>
        <v>0</v>
      </c>
      <c r="AH37" s="383">
        <f t="shared" ca="1" si="13"/>
        <v>0</v>
      </c>
      <c r="AI37" s="384">
        <f t="shared" ca="1" si="36"/>
        <v>50069.491002562012</v>
      </c>
      <c r="AJ37" s="590">
        <f t="shared" ca="1" si="14"/>
        <v>13452.556291202543</v>
      </c>
      <c r="AK37" s="385">
        <f t="shared" ca="1" si="15"/>
        <v>0</v>
      </c>
      <c r="AL37" s="591">
        <f t="shared" ca="1" si="37"/>
        <v>96229.819299812487</v>
      </c>
      <c r="AM37" s="388">
        <f t="shared" si="16"/>
        <v>1365.1872944041563</v>
      </c>
      <c r="AN37" s="389">
        <f t="shared" si="38"/>
        <v>564.86993330726239</v>
      </c>
      <c r="AO37" s="390">
        <f t="shared" si="39"/>
        <v>20759.055004620164</v>
      </c>
      <c r="AP37" s="389">
        <f t="shared" si="17"/>
        <v>2730.3745888083126</v>
      </c>
      <c r="AQ37" s="389">
        <f t="shared" si="40"/>
        <v>1129.7398666145248</v>
      </c>
      <c r="AR37" s="389">
        <f t="shared" si="41"/>
        <v>41518.110009240329</v>
      </c>
      <c r="AS37" s="384">
        <f t="shared" si="42"/>
        <v>24034.967000909364</v>
      </c>
      <c r="AT37" s="390">
        <f t="shared" si="18"/>
        <v>86312.132014769857</v>
      </c>
      <c r="AU37" s="373">
        <f t="shared" si="19"/>
        <v>0.20028014147828396</v>
      </c>
      <c r="AV37" s="387">
        <f t="shared" si="43"/>
        <v>345650</v>
      </c>
      <c r="AW37" s="387">
        <f t="shared" si="20"/>
        <v>241687.86798523014</v>
      </c>
      <c r="AX37" s="374">
        <f t="shared" si="44"/>
        <v>0</v>
      </c>
      <c r="AY37" s="184">
        <f t="shared" si="48"/>
        <v>15</v>
      </c>
      <c r="AZ37" s="146"/>
      <c r="BA37" s="146"/>
      <c r="BB37" s="146"/>
      <c r="BC37" s="146"/>
      <c r="BD37" s="146"/>
      <c r="BE37" s="146"/>
    </row>
    <row r="38" spans="1:57">
      <c r="A38" s="360">
        <f t="shared" si="45"/>
        <v>16</v>
      </c>
      <c r="B38" s="182">
        <f t="shared" si="21"/>
        <v>441730.94078192342</v>
      </c>
      <c r="C38" s="361">
        <f t="shared" si="22"/>
        <v>28068.250772949454</v>
      </c>
      <c r="D38" s="375">
        <f t="shared" si="23"/>
        <v>0</v>
      </c>
      <c r="E38" s="376">
        <f t="shared" si="46"/>
        <v>28068.250772949454</v>
      </c>
      <c r="F38" s="377">
        <f t="shared" ca="1" si="24"/>
        <v>4946.2870246469638</v>
      </c>
      <c r="G38" s="377">
        <f t="shared" ca="1" si="25"/>
        <v>33014.537797596415</v>
      </c>
      <c r="H38" s="382">
        <f t="shared" si="0"/>
        <v>883.46188156384687</v>
      </c>
      <c r="I38" s="383">
        <f t="shared" si="1"/>
        <v>3648.8726004834293</v>
      </c>
      <c r="J38" s="383">
        <f t="shared" ca="1" si="2"/>
        <v>1104.3273519548086</v>
      </c>
      <c r="K38" s="383">
        <f t="shared" ca="1" si="3"/>
        <v>0</v>
      </c>
      <c r="L38" s="383">
        <f t="shared" ca="1" si="26"/>
        <v>0</v>
      </c>
      <c r="M38" s="386">
        <f t="shared" si="4"/>
        <v>10369.5</v>
      </c>
      <c r="N38" s="386">
        <f t="shared" ca="1" si="27"/>
        <v>16006.161834002083</v>
      </c>
      <c r="O38" s="493"/>
      <c r="P38" s="361">
        <f t="shared" ca="1" si="47"/>
        <v>17008.375963594332</v>
      </c>
      <c r="Q38" s="370">
        <f ca="1">Tax!W17</f>
        <v>-2629.9247664162563</v>
      </c>
      <c r="R38" s="570">
        <f t="shared" ca="1" si="28"/>
        <v>14378.451197178076</v>
      </c>
      <c r="S38" s="377">
        <f t="shared" si="5"/>
        <v>1403.4125386474727</v>
      </c>
      <c r="T38" s="378">
        <f t="shared" si="6"/>
        <v>2806.8250772949455</v>
      </c>
      <c r="U38" s="586">
        <f t="shared" ca="1" si="29"/>
        <v>183464.92296801929</v>
      </c>
      <c r="V38" s="379">
        <f t="shared" si="7"/>
        <v>2806.8250772949455</v>
      </c>
      <c r="W38" s="380">
        <f t="shared" si="30"/>
        <v>721.04901002728093</v>
      </c>
      <c r="X38" s="380">
        <f t="shared" si="8"/>
        <v>2208.6547039096172</v>
      </c>
      <c r="Y38" s="381">
        <f t="shared" si="9"/>
        <v>1104.3273519548086</v>
      </c>
      <c r="Z38" s="382">
        <f t="shared" si="31"/>
        <v>1104.3273519548086</v>
      </c>
      <c r="AA38" s="383">
        <f t="shared" si="10"/>
        <v>0</v>
      </c>
      <c r="AB38" s="384">
        <f t="shared" si="32"/>
        <v>26458.513736276782</v>
      </c>
      <c r="AC38" s="379">
        <f t="shared" ca="1" si="33"/>
        <v>6625.9641117288511</v>
      </c>
      <c r="AD38" s="380">
        <f t="shared" ca="1" si="34"/>
        <v>1502.0847300768603</v>
      </c>
      <c r="AE38" s="380">
        <f t="shared" si="11"/>
        <v>0</v>
      </c>
      <c r="AF38" s="381">
        <f t="shared" si="12"/>
        <v>0</v>
      </c>
      <c r="AG38" s="382">
        <f t="shared" ca="1" si="35"/>
        <v>0</v>
      </c>
      <c r="AH38" s="383">
        <f t="shared" ca="1" si="13"/>
        <v>0</v>
      </c>
      <c r="AI38" s="384">
        <f t="shared" ca="1" si="36"/>
        <v>58197.539844367726</v>
      </c>
      <c r="AJ38" s="590">
        <f t="shared" ref="AJ38:AJ62" ca="1" si="49">R38</f>
        <v>14378.451197178076</v>
      </c>
      <c r="AK38" s="385">
        <f t="shared" ca="1" si="15"/>
        <v>0</v>
      </c>
      <c r="AL38" s="591">
        <f t="shared" ca="1" si="37"/>
        <v>110608.27049699056</v>
      </c>
      <c r="AM38" s="388">
        <f t="shared" si="16"/>
        <v>1403.4125386474727</v>
      </c>
      <c r="AN38" s="389">
        <f t="shared" si="38"/>
        <v>622.77165013860485</v>
      </c>
      <c r="AO38" s="390">
        <f t="shared" si="39"/>
        <v>22785.239193406243</v>
      </c>
      <c r="AP38" s="389">
        <f t="shared" si="17"/>
        <v>2806.8250772949455</v>
      </c>
      <c r="AQ38" s="389">
        <f t="shared" si="40"/>
        <v>1245.5433002772097</v>
      </c>
      <c r="AR38" s="389">
        <f t="shared" si="41"/>
        <v>45570.478386812487</v>
      </c>
      <c r="AS38" s="384">
        <f t="shared" si="42"/>
        <v>26458.513736276782</v>
      </c>
      <c r="AT38" s="390">
        <f t="shared" si="18"/>
        <v>94814.231316495512</v>
      </c>
      <c r="AU38" s="373">
        <f t="shared" si="19"/>
        <v>0.21464249515476891</v>
      </c>
      <c r="AV38" s="387">
        <f t="shared" si="43"/>
        <v>345650</v>
      </c>
      <c r="AW38" s="387">
        <f t="shared" si="20"/>
        <v>233185.76868350449</v>
      </c>
      <c r="AX38" s="374">
        <f t="shared" si="44"/>
        <v>0</v>
      </c>
      <c r="AY38" s="184">
        <f t="shared" si="48"/>
        <v>16</v>
      </c>
      <c r="AZ38" s="146"/>
      <c r="BA38" s="146"/>
      <c r="BB38" s="146"/>
      <c r="BC38" s="146"/>
      <c r="BD38" s="146"/>
      <c r="BE38" s="146"/>
    </row>
    <row r="39" spans="1:57">
      <c r="A39" s="360">
        <f t="shared" si="45"/>
        <v>17</v>
      </c>
      <c r="B39" s="182">
        <f t="shared" si="21"/>
        <v>452774.21430147148</v>
      </c>
      <c r="C39" s="361">
        <f t="shared" si="22"/>
        <v>28854.161794592041</v>
      </c>
      <c r="D39" s="375">
        <f t="shared" si="23"/>
        <v>0</v>
      </c>
      <c r="E39" s="376">
        <f t="shared" si="46"/>
        <v>28854.161794592041</v>
      </c>
      <c r="F39" s="377">
        <f t="shared" ca="1" si="24"/>
        <v>5503.9476890405786</v>
      </c>
      <c r="G39" s="377">
        <f t="shared" ca="1" si="25"/>
        <v>34358.109483632623</v>
      </c>
      <c r="H39" s="382">
        <f t="shared" si="0"/>
        <v>905.54842860294298</v>
      </c>
      <c r="I39" s="383">
        <f t="shared" si="1"/>
        <v>3751.0410332969655</v>
      </c>
      <c r="J39" s="383">
        <f t="shared" ca="1" si="2"/>
        <v>1131.9355357536788</v>
      </c>
      <c r="K39" s="383">
        <f t="shared" ca="1" si="3"/>
        <v>0</v>
      </c>
      <c r="L39" s="383">
        <f t="shared" ca="1" si="26"/>
        <v>0</v>
      </c>
      <c r="M39" s="386">
        <f t="shared" si="4"/>
        <v>10369.5</v>
      </c>
      <c r="N39" s="386">
        <f t="shared" ca="1" si="27"/>
        <v>16158.024997653587</v>
      </c>
      <c r="O39" s="493"/>
      <c r="P39" s="361">
        <f t="shared" ca="1" si="47"/>
        <v>18200.084485979038</v>
      </c>
      <c r="Q39" s="370">
        <f ca="1">Tax!X17</f>
        <v>-2856.3493856693503</v>
      </c>
      <c r="R39" s="570">
        <f t="shared" ca="1" si="28"/>
        <v>15343.735100309688</v>
      </c>
      <c r="S39" s="377">
        <f t="shared" si="5"/>
        <v>1442.7080897296021</v>
      </c>
      <c r="T39" s="378">
        <f t="shared" si="6"/>
        <v>2885.4161794592042</v>
      </c>
      <c r="U39" s="586">
        <f t="shared" ca="1" si="29"/>
        <v>203136.7823375178</v>
      </c>
      <c r="V39" s="379">
        <f t="shared" si="7"/>
        <v>2885.4161794592042</v>
      </c>
      <c r="W39" s="380">
        <f t="shared" si="30"/>
        <v>793.75541208830339</v>
      </c>
      <c r="X39" s="380">
        <f t="shared" si="8"/>
        <v>2263.8710715073576</v>
      </c>
      <c r="Y39" s="381">
        <f t="shared" si="9"/>
        <v>1131.9355357536788</v>
      </c>
      <c r="Z39" s="382">
        <f t="shared" si="31"/>
        <v>1131.9355357536788</v>
      </c>
      <c r="AA39" s="383">
        <f t="shared" si="10"/>
        <v>0</v>
      </c>
      <c r="AB39" s="384">
        <f t="shared" si="32"/>
        <v>29005.749792070612</v>
      </c>
      <c r="AC39" s="379">
        <f t="shared" ca="1" si="33"/>
        <v>6791.6132145220718</v>
      </c>
      <c r="AD39" s="380">
        <f t="shared" ca="1" si="34"/>
        <v>1745.9261953310317</v>
      </c>
      <c r="AE39" s="380">
        <f t="shared" si="11"/>
        <v>0</v>
      </c>
      <c r="AF39" s="381">
        <f t="shared" si="12"/>
        <v>0</v>
      </c>
      <c r="AG39" s="382">
        <f t="shared" ca="1" si="35"/>
        <v>0</v>
      </c>
      <c r="AH39" s="383">
        <f t="shared" ca="1" si="13"/>
        <v>0</v>
      </c>
      <c r="AI39" s="384">
        <f t="shared" ca="1" si="36"/>
        <v>66735.079254220822</v>
      </c>
      <c r="AJ39" s="590">
        <f t="shared" ca="1" si="49"/>
        <v>15343.735100309688</v>
      </c>
      <c r="AK39" s="385">
        <f t="shared" ca="1" si="15"/>
        <v>0</v>
      </c>
      <c r="AL39" s="591">
        <f t="shared" ca="1" si="37"/>
        <v>125952.00559730025</v>
      </c>
      <c r="AM39" s="388">
        <f t="shared" si="16"/>
        <v>1442.7080897296021</v>
      </c>
      <c r="AN39" s="389">
        <f t="shared" si="38"/>
        <v>683.55717580218732</v>
      </c>
      <c r="AO39" s="390">
        <f t="shared" si="39"/>
        <v>24911.504458938034</v>
      </c>
      <c r="AP39" s="389">
        <f t="shared" si="17"/>
        <v>2885.4161794592042</v>
      </c>
      <c r="AQ39" s="389">
        <f t="shared" si="40"/>
        <v>1367.1143516043746</v>
      </c>
      <c r="AR39" s="389">
        <f t="shared" si="41"/>
        <v>49823.008917876068</v>
      </c>
      <c r="AS39" s="384">
        <f t="shared" si="42"/>
        <v>29005.749792070612</v>
      </c>
      <c r="AT39" s="390">
        <f t="shared" si="18"/>
        <v>103740.26316888472</v>
      </c>
      <c r="AU39" s="373">
        <f t="shared" si="19"/>
        <v>0.22912140288053406</v>
      </c>
      <c r="AV39" s="387">
        <f t="shared" si="43"/>
        <v>345650</v>
      </c>
      <c r="AW39" s="387">
        <f t="shared" si="20"/>
        <v>224259.73683111527</v>
      </c>
      <c r="AX39" s="374">
        <f t="shared" si="44"/>
        <v>0</v>
      </c>
      <c r="AY39" s="184">
        <f t="shared" si="48"/>
        <v>17</v>
      </c>
      <c r="AZ39" s="146"/>
      <c r="BA39" s="146"/>
      <c r="BB39" s="146"/>
      <c r="BC39" s="146"/>
      <c r="BD39" s="146"/>
      <c r="BE39" s="146"/>
    </row>
    <row r="40" spans="1:57">
      <c r="A40" s="360">
        <f t="shared" si="45"/>
        <v>18</v>
      </c>
      <c r="B40" s="182">
        <f t="shared" si="21"/>
        <v>464093.56965900824</v>
      </c>
      <c r="C40" s="361">
        <f t="shared" si="22"/>
        <v>29662.078324840619</v>
      </c>
      <c r="D40" s="375">
        <f t="shared" si="23"/>
        <v>0</v>
      </c>
      <c r="E40" s="376">
        <f t="shared" si="46"/>
        <v>29662.078324840619</v>
      </c>
      <c r="F40" s="377">
        <f t="shared" ca="1" si="24"/>
        <v>6094.1034701255339</v>
      </c>
      <c r="G40" s="377">
        <f t="shared" ca="1" si="25"/>
        <v>35756.181794966149</v>
      </c>
      <c r="H40" s="382">
        <f t="shared" si="0"/>
        <v>928.18713931801653</v>
      </c>
      <c r="I40" s="383">
        <f t="shared" si="1"/>
        <v>3856.0701822292804</v>
      </c>
      <c r="J40" s="383">
        <f t="shared" ca="1" si="2"/>
        <v>1160.2339241475206</v>
      </c>
      <c r="K40" s="383">
        <f t="shared" ca="1" si="3"/>
        <v>0</v>
      </c>
      <c r="L40" s="383">
        <f t="shared" ca="1" si="26"/>
        <v>0</v>
      </c>
      <c r="M40" s="386">
        <f t="shared" si="4"/>
        <v>10369.5</v>
      </c>
      <c r="N40" s="386">
        <f t="shared" ca="1" si="27"/>
        <v>16313.991245694817</v>
      </c>
      <c r="O40" s="493"/>
      <c r="P40" s="361">
        <f t="shared" ca="1" si="47"/>
        <v>19442.190549271334</v>
      </c>
      <c r="Q40" s="370">
        <f ca="1">Tax!Y17</f>
        <v>-3092.3495376948867</v>
      </c>
      <c r="R40" s="570">
        <f t="shared" ca="1" si="28"/>
        <v>16349.841011576447</v>
      </c>
      <c r="S40" s="377">
        <f t="shared" si="5"/>
        <v>1483.1039162420311</v>
      </c>
      <c r="T40" s="378">
        <f t="shared" si="6"/>
        <v>2966.2078324840622</v>
      </c>
      <c r="U40" s="586">
        <f t="shared" ca="1" si="29"/>
        <v>223935.93509782033</v>
      </c>
      <c r="V40" s="379">
        <f t="shared" si="7"/>
        <v>2966.2078324840622</v>
      </c>
      <c r="W40" s="380">
        <f t="shared" si="30"/>
        <v>870.17249376211828</v>
      </c>
      <c r="X40" s="380">
        <f t="shared" si="8"/>
        <v>2320.4678482950412</v>
      </c>
      <c r="Y40" s="381">
        <f t="shared" si="9"/>
        <v>1160.2339241475206</v>
      </c>
      <c r="Z40" s="382">
        <f t="shared" si="31"/>
        <v>1160.2339241475206</v>
      </c>
      <c r="AA40" s="383">
        <f t="shared" si="10"/>
        <v>0</v>
      </c>
      <c r="AB40" s="384">
        <f t="shared" si="32"/>
        <v>31681.896194169272</v>
      </c>
      <c r="AC40" s="379">
        <f t="shared" ca="1" si="33"/>
        <v>6961.4035448851237</v>
      </c>
      <c r="AD40" s="380">
        <f t="shared" ca="1" si="34"/>
        <v>2002.0523776266245</v>
      </c>
      <c r="AE40" s="380">
        <f t="shared" si="11"/>
        <v>0</v>
      </c>
      <c r="AF40" s="381">
        <f t="shared" si="12"/>
        <v>0</v>
      </c>
      <c r="AG40" s="382">
        <f t="shared" ca="1" si="35"/>
        <v>0</v>
      </c>
      <c r="AH40" s="383">
        <f t="shared" ca="1" si="13"/>
        <v>0</v>
      </c>
      <c r="AI40" s="384">
        <f t="shared" ca="1" si="36"/>
        <v>75698.535176732577</v>
      </c>
      <c r="AJ40" s="590">
        <f t="shared" ca="1" si="49"/>
        <v>16349.841011576447</v>
      </c>
      <c r="AK40" s="385">
        <f t="shared" ca="1" si="15"/>
        <v>0</v>
      </c>
      <c r="AL40" s="591">
        <f t="shared" ca="1" si="37"/>
        <v>142301.84660887669</v>
      </c>
      <c r="AM40" s="388">
        <f t="shared" si="16"/>
        <v>1483.1039162420311</v>
      </c>
      <c r="AN40" s="389">
        <f t="shared" si="38"/>
        <v>747.34513376814095</v>
      </c>
      <c r="AO40" s="390">
        <f t="shared" si="39"/>
        <v>27141.953508948205</v>
      </c>
      <c r="AP40" s="389">
        <f t="shared" si="17"/>
        <v>2966.2078324840622</v>
      </c>
      <c r="AQ40" s="389">
        <f t="shared" si="40"/>
        <v>1494.6902675362819</v>
      </c>
      <c r="AR40" s="389">
        <f t="shared" si="41"/>
        <v>54283.90701789641</v>
      </c>
      <c r="AS40" s="384">
        <f t="shared" si="42"/>
        <v>31681.896194169272</v>
      </c>
      <c r="AT40" s="390">
        <f t="shared" si="18"/>
        <v>113107.75672101388</v>
      </c>
      <c r="AU40" s="373">
        <f t="shared" si="19"/>
        <v>0.24371756929129521</v>
      </c>
      <c r="AV40" s="387">
        <f t="shared" si="43"/>
        <v>345650</v>
      </c>
      <c r="AW40" s="387">
        <f t="shared" si="20"/>
        <v>214892.24327898613</v>
      </c>
      <c r="AX40" s="374">
        <f t="shared" si="44"/>
        <v>0</v>
      </c>
      <c r="AY40" s="184">
        <f t="shared" si="48"/>
        <v>18</v>
      </c>
      <c r="AZ40" s="146"/>
      <c r="BA40" s="146"/>
      <c r="BB40" s="146"/>
      <c r="BC40" s="146"/>
      <c r="BD40" s="146"/>
      <c r="BE40" s="146"/>
    </row>
    <row r="41" spans="1:57">
      <c r="A41" s="360">
        <f t="shared" si="45"/>
        <v>19</v>
      </c>
      <c r="B41" s="182">
        <f t="shared" si="21"/>
        <v>475695.90890048339</v>
      </c>
      <c r="C41" s="361">
        <f t="shared" si="22"/>
        <v>30492.616517936156</v>
      </c>
      <c r="D41" s="375">
        <f t="shared" si="23"/>
        <v>0</v>
      </c>
      <c r="E41" s="376">
        <f t="shared" si="46"/>
        <v>30492.616517936156</v>
      </c>
      <c r="F41" s="377">
        <f t="shared" ca="1" si="24"/>
        <v>6718.0780529346093</v>
      </c>
      <c r="G41" s="377">
        <f t="shared" ca="1" si="25"/>
        <v>37210.694570870764</v>
      </c>
      <c r="H41" s="382">
        <f t="shared" si="0"/>
        <v>951.39181780096681</v>
      </c>
      <c r="I41" s="383">
        <f t="shared" si="1"/>
        <v>3964.0401473317006</v>
      </c>
      <c r="J41" s="383">
        <f t="shared" ca="1" si="2"/>
        <v>1189.2397722512085</v>
      </c>
      <c r="K41" s="383">
        <f t="shared" ca="1" si="3"/>
        <v>0</v>
      </c>
      <c r="L41" s="383">
        <f t="shared" ca="1" si="26"/>
        <v>0</v>
      </c>
      <c r="M41" s="386">
        <f t="shared" si="4"/>
        <v>10369.5</v>
      </c>
      <c r="N41" s="386">
        <f t="shared" ca="1" si="27"/>
        <v>16474.171737383876</v>
      </c>
      <c r="O41" s="493"/>
      <c r="P41" s="361">
        <f t="shared" ca="1" si="47"/>
        <v>20736.522833486888</v>
      </c>
      <c r="Q41" s="370">
        <f ca="1">Tax!Z17</f>
        <v>-3338.2726716958418</v>
      </c>
      <c r="R41" s="570">
        <f t="shared" ca="1" si="28"/>
        <v>17398.250161791046</v>
      </c>
      <c r="S41" s="377">
        <f t="shared" si="5"/>
        <v>1524.6308258968079</v>
      </c>
      <c r="T41" s="378">
        <f t="shared" si="6"/>
        <v>3049.2616517936158</v>
      </c>
      <c r="U41" s="586">
        <f t="shared" ca="1" si="29"/>
        <v>245908.07773730179</v>
      </c>
      <c r="V41" s="379">
        <f t="shared" si="7"/>
        <v>3049.2616517936158</v>
      </c>
      <c r="W41" s="380">
        <f t="shared" si="30"/>
        <v>950.45688582507819</v>
      </c>
      <c r="X41" s="380">
        <f t="shared" si="8"/>
        <v>2378.479544502417</v>
      </c>
      <c r="Y41" s="381">
        <f t="shared" si="9"/>
        <v>1189.2397722512085</v>
      </c>
      <c r="Z41" s="382">
        <f t="shared" si="31"/>
        <v>1189.2397722512085</v>
      </c>
      <c r="AA41" s="383">
        <f t="shared" si="10"/>
        <v>0</v>
      </c>
      <c r="AB41" s="384">
        <f t="shared" si="32"/>
        <v>34492.374959536755</v>
      </c>
      <c r="AC41" s="379">
        <f t="shared" ca="1" si="33"/>
        <v>7135.4386335072504</v>
      </c>
      <c r="AD41" s="380">
        <f t="shared" ca="1" si="34"/>
        <v>2270.9560553019774</v>
      </c>
      <c r="AE41" s="380">
        <f t="shared" si="11"/>
        <v>0</v>
      </c>
      <c r="AF41" s="381">
        <f t="shared" si="12"/>
        <v>0</v>
      </c>
      <c r="AG41" s="382">
        <f t="shared" ca="1" si="35"/>
        <v>0</v>
      </c>
      <c r="AH41" s="383">
        <f t="shared" ca="1" si="13"/>
        <v>0</v>
      </c>
      <c r="AI41" s="384">
        <f t="shared" ca="1" si="36"/>
        <v>85104.92986554181</v>
      </c>
      <c r="AJ41" s="590">
        <f t="shared" ca="1" si="49"/>
        <v>17398.250161791046</v>
      </c>
      <c r="AK41" s="385">
        <f t="shared" ca="1" si="15"/>
        <v>0</v>
      </c>
      <c r="AL41" s="591">
        <f t="shared" ca="1" si="37"/>
        <v>159700.09677066773</v>
      </c>
      <c r="AM41" s="388">
        <f t="shared" si="16"/>
        <v>1524.6308258968079</v>
      </c>
      <c r="AN41" s="389">
        <f t="shared" si="38"/>
        <v>814.2586052684461</v>
      </c>
      <c r="AO41" s="390">
        <f t="shared" si="39"/>
        <v>29480.84294011346</v>
      </c>
      <c r="AP41" s="389">
        <f t="shared" si="17"/>
        <v>3049.2616517936158</v>
      </c>
      <c r="AQ41" s="389">
        <f t="shared" si="40"/>
        <v>1628.5172105368922</v>
      </c>
      <c r="AR41" s="389">
        <f t="shared" si="41"/>
        <v>58961.68588022692</v>
      </c>
      <c r="AS41" s="384">
        <f t="shared" si="42"/>
        <v>34492.374959536755</v>
      </c>
      <c r="AT41" s="390">
        <f t="shared" si="18"/>
        <v>122934.90377987713</v>
      </c>
      <c r="AU41" s="373">
        <f t="shared" si="19"/>
        <v>0.25843170285829675</v>
      </c>
      <c r="AV41" s="387">
        <f t="shared" si="43"/>
        <v>345650</v>
      </c>
      <c r="AW41" s="387">
        <f t="shared" si="20"/>
        <v>205065.09622012288</v>
      </c>
      <c r="AX41" s="374">
        <f t="shared" si="44"/>
        <v>0</v>
      </c>
      <c r="AY41" s="184">
        <f t="shared" si="48"/>
        <v>19</v>
      </c>
      <c r="AZ41" s="146"/>
      <c r="BA41" s="146"/>
      <c r="BB41" s="146"/>
      <c r="BC41" s="146"/>
      <c r="BD41" s="146"/>
      <c r="BE41" s="146"/>
    </row>
    <row r="42" spans="1:57">
      <c r="A42" s="360">
        <f t="shared" si="45"/>
        <v>20</v>
      </c>
      <c r="B42" s="182">
        <f t="shared" si="21"/>
        <v>487588.30662299541</v>
      </c>
      <c r="C42" s="361">
        <f t="shared" si="22"/>
        <v>31346.409780438371</v>
      </c>
      <c r="D42" s="375">
        <f t="shared" si="23"/>
        <v>0</v>
      </c>
      <c r="E42" s="376">
        <f t="shared" si="46"/>
        <v>31346.409780438371</v>
      </c>
      <c r="F42" s="377">
        <f t="shared" ca="1" si="24"/>
        <v>7377.2423321190536</v>
      </c>
      <c r="G42" s="377">
        <f t="shared" ca="1" si="25"/>
        <v>38723.652112557422</v>
      </c>
      <c r="H42" s="382">
        <f t="shared" si="0"/>
        <v>975.17661324599089</v>
      </c>
      <c r="I42" s="383">
        <f t="shared" si="1"/>
        <v>4075.0332714569886</v>
      </c>
      <c r="J42" s="383">
        <f t="shared" ca="1" si="2"/>
        <v>37788.093763282144</v>
      </c>
      <c r="K42" s="383">
        <f t="shared" ca="1" si="3"/>
        <v>0</v>
      </c>
      <c r="L42" s="383">
        <f t="shared" ca="1" si="26"/>
        <v>0</v>
      </c>
      <c r="M42" s="386">
        <f t="shared" si="4"/>
        <v>10369.5</v>
      </c>
      <c r="N42" s="386">
        <f t="shared" ca="1" si="27"/>
        <v>53207.803647985122</v>
      </c>
      <c r="O42" s="493"/>
      <c r="P42" s="361">
        <f t="shared" ca="1" si="47"/>
        <v>-14484.1515354277</v>
      </c>
      <c r="Q42" s="370">
        <f ca="1">Tax!AA17</f>
        <v>0</v>
      </c>
      <c r="R42" s="570">
        <f t="shared" ca="1" si="28"/>
        <v>-14484.1515354277</v>
      </c>
      <c r="S42" s="377">
        <f t="shared" si="5"/>
        <v>1567.3204890219185</v>
      </c>
      <c r="T42" s="378">
        <f t="shared" si="6"/>
        <v>3134.6409780438371</v>
      </c>
      <c r="U42" s="586">
        <f t="shared" ca="1" si="29"/>
        <v>236125.88766893983</v>
      </c>
      <c r="V42" s="379">
        <f t="shared" si="7"/>
        <v>3134.6409780438371</v>
      </c>
      <c r="W42" s="380">
        <f t="shared" si="30"/>
        <v>1034.7712487861027</v>
      </c>
      <c r="X42" s="380">
        <f t="shared" si="8"/>
        <v>2437.9415331149771</v>
      </c>
      <c r="Y42" s="381">
        <f t="shared" si="9"/>
        <v>1218.9707665574886</v>
      </c>
      <c r="Z42" s="382">
        <f t="shared" si="31"/>
        <v>1218.9707665574886</v>
      </c>
      <c r="AA42" s="383">
        <f t="shared" si="10"/>
        <v>0</v>
      </c>
      <c r="AB42" s="384">
        <f t="shared" si="32"/>
        <v>37442.816419809205</v>
      </c>
      <c r="AC42" s="379">
        <f t="shared" ca="1" si="33"/>
        <v>7313.8245993449309</v>
      </c>
      <c r="AD42" s="380">
        <f t="shared" ca="1" si="34"/>
        <v>2553.1478959662541</v>
      </c>
      <c r="AE42" s="380">
        <f t="shared" si="11"/>
        <v>73138.245993449309</v>
      </c>
      <c r="AF42" s="381">
        <f t="shared" si="12"/>
        <v>36569.122996724655</v>
      </c>
      <c r="AG42" s="382">
        <f t="shared" ca="1" si="35"/>
        <v>36569.122996724655</v>
      </c>
      <c r="AH42" s="383">
        <f t="shared" ca="1" si="13"/>
        <v>0</v>
      </c>
      <c r="AI42" s="384">
        <f t="shared" ca="1" si="36"/>
        <v>58402.779364128342</v>
      </c>
      <c r="AJ42" s="590">
        <f t="shared" ca="1" si="49"/>
        <v>-14484.1515354277</v>
      </c>
      <c r="AK42" s="385">
        <f t="shared" ca="1" si="15"/>
        <v>0</v>
      </c>
      <c r="AL42" s="591">
        <f t="shared" ca="1" si="37"/>
        <v>145215.94523524004</v>
      </c>
      <c r="AM42" s="388">
        <f t="shared" si="16"/>
        <v>1567.3204890219185</v>
      </c>
      <c r="AN42" s="389">
        <f t="shared" si="38"/>
        <v>884.42528820340374</v>
      </c>
      <c r="AO42" s="390">
        <f t="shared" si="39"/>
        <v>31932.588717338782</v>
      </c>
      <c r="AP42" s="389">
        <f t="shared" si="17"/>
        <v>3134.6409780438371</v>
      </c>
      <c r="AQ42" s="389">
        <f t="shared" si="40"/>
        <v>1768.8505764068075</v>
      </c>
      <c r="AR42" s="389">
        <f t="shared" si="41"/>
        <v>63865.177434677564</v>
      </c>
      <c r="AS42" s="384">
        <f t="shared" ca="1" si="42"/>
        <v>95845.595783937548</v>
      </c>
      <c r="AT42" s="390">
        <f t="shared" ca="1" si="18"/>
        <v>191643.3619359539</v>
      </c>
      <c r="AU42" s="373">
        <f t="shared" ca="1" si="19"/>
        <v>0.39304339200269844</v>
      </c>
      <c r="AV42" s="387">
        <f t="shared" si="43"/>
        <v>345650</v>
      </c>
      <c r="AW42" s="387">
        <f t="shared" ca="1" si="20"/>
        <v>136356.6380640461</v>
      </c>
      <c r="AX42" s="374">
        <f t="shared" si="44"/>
        <v>0</v>
      </c>
      <c r="AY42" s="184">
        <f t="shared" si="48"/>
        <v>20</v>
      </c>
      <c r="AZ42" s="146">
        <v>6.1</v>
      </c>
      <c r="BA42" s="146"/>
      <c r="BB42" s="146"/>
      <c r="BC42" s="146"/>
      <c r="BD42" s="146"/>
      <c r="BE42" s="146"/>
    </row>
    <row r="43" spans="1:57">
      <c r="A43" s="360">
        <f t="shared" si="45"/>
        <v>21</v>
      </c>
      <c r="B43" s="182">
        <f t="shared" si="21"/>
        <v>499778.01428857027</v>
      </c>
      <c r="C43" s="361">
        <f t="shared" si="22"/>
        <v>32224.109254290644</v>
      </c>
      <c r="D43" s="375">
        <f t="shared" si="23"/>
        <v>0</v>
      </c>
      <c r="E43" s="376">
        <f t="shared" si="46"/>
        <v>32224.109254290644</v>
      </c>
      <c r="F43" s="377">
        <f t="shared" ca="1" si="24"/>
        <v>7083.7766300681951</v>
      </c>
      <c r="G43" s="377">
        <f t="shared" ca="1" si="25"/>
        <v>39307.885884358839</v>
      </c>
      <c r="H43" s="382">
        <f t="shared" si="0"/>
        <v>999.55602857714052</v>
      </c>
      <c r="I43" s="383">
        <f t="shared" si="1"/>
        <v>4189.1342030577844</v>
      </c>
      <c r="J43" s="383">
        <f t="shared" ca="1" si="2"/>
        <v>1249.4450357214257</v>
      </c>
      <c r="K43" s="383">
        <f t="shared" ca="1" si="3"/>
        <v>0</v>
      </c>
      <c r="L43" s="383">
        <f t="shared" ca="1" si="26"/>
        <v>0</v>
      </c>
      <c r="M43" s="386">
        <f t="shared" si="4"/>
        <v>10369.5</v>
      </c>
      <c r="N43" s="386">
        <f t="shared" ca="1" si="27"/>
        <v>16807.635267356352</v>
      </c>
      <c r="O43" s="493"/>
      <c r="P43" s="361">
        <f t="shared" ca="1" si="47"/>
        <v>22500.250617002486</v>
      </c>
      <c r="Q43" s="370">
        <f ca="1">Tax!AB17</f>
        <v>-319.72549216587561</v>
      </c>
      <c r="R43" s="570">
        <f t="shared" ca="1" si="28"/>
        <v>22180.525124836611</v>
      </c>
      <c r="S43" s="377">
        <f t="shared" si="5"/>
        <v>1611.2054627145324</v>
      </c>
      <c r="T43" s="378">
        <f t="shared" si="6"/>
        <v>3222.4109254290647</v>
      </c>
      <c r="U43" s="586">
        <f t="shared" ca="1" si="29"/>
        <v>263140.02918192005</v>
      </c>
      <c r="V43" s="379">
        <f t="shared" si="7"/>
        <v>3222.4109254290647</v>
      </c>
      <c r="W43" s="380">
        <f t="shared" si="30"/>
        <v>1123.2844925942761</v>
      </c>
      <c r="X43" s="380">
        <f t="shared" si="8"/>
        <v>2498.8900714428514</v>
      </c>
      <c r="Y43" s="381">
        <f t="shared" si="9"/>
        <v>1249.4450357214257</v>
      </c>
      <c r="Z43" s="382">
        <f t="shared" si="31"/>
        <v>1249.4450357214257</v>
      </c>
      <c r="AA43" s="383">
        <f t="shared" si="10"/>
        <v>0</v>
      </c>
      <c r="AB43" s="384">
        <f t="shared" si="32"/>
        <v>40539.06680211112</v>
      </c>
      <c r="AC43" s="379">
        <f t="shared" ca="1" si="33"/>
        <v>7496.6702143285538</v>
      </c>
      <c r="AD43" s="380">
        <f t="shared" ca="1" si="34"/>
        <v>1752.0833809238502</v>
      </c>
      <c r="AE43" s="380">
        <f t="shared" si="11"/>
        <v>0</v>
      </c>
      <c r="AF43" s="381">
        <f t="shared" si="12"/>
        <v>0</v>
      </c>
      <c r="AG43" s="382">
        <f t="shared" ca="1" si="35"/>
        <v>0</v>
      </c>
      <c r="AH43" s="383">
        <f t="shared" ca="1" si="13"/>
        <v>0</v>
      </c>
      <c r="AI43" s="384">
        <f t="shared" ca="1" si="36"/>
        <v>67651.53295938074</v>
      </c>
      <c r="AJ43" s="590">
        <f t="shared" ca="1" si="49"/>
        <v>22180.525124836611</v>
      </c>
      <c r="AK43" s="385">
        <f t="shared" ca="1" si="15"/>
        <v>0</v>
      </c>
      <c r="AL43" s="591">
        <f t="shared" ca="1" si="37"/>
        <v>167396.47036007664</v>
      </c>
      <c r="AM43" s="388">
        <f t="shared" si="16"/>
        <v>1611.2054627145324</v>
      </c>
      <c r="AN43" s="389">
        <f t="shared" si="38"/>
        <v>957.97766152016345</v>
      </c>
      <c r="AO43" s="390">
        <f t="shared" si="39"/>
        <v>34501.771841573478</v>
      </c>
      <c r="AP43" s="389">
        <f t="shared" si="17"/>
        <v>3222.4109254290647</v>
      </c>
      <c r="AQ43" s="389">
        <f t="shared" si="40"/>
        <v>1915.9553230403269</v>
      </c>
      <c r="AR43" s="389">
        <f t="shared" si="41"/>
        <v>69003.543683146956</v>
      </c>
      <c r="AS43" s="384">
        <f t="shared" si="42"/>
        <v>40539.06680211112</v>
      </c>
      <c r="AT43" s="390">
        <f t="shared" si="18"/>
        <v>144044.38232683158</v>
      </c>
      <c r="AU43" s="373">
        <f t="shared" si="19"/>
        <v>0.2882167246429948</v>
      </c>
      <c r="AV43" s="387">
        <f t="shared" si="43"/>
        <v>345650</v>
      </c>
      <c r="AW43" s="387">
        <f t="shared" si="20"/>
        <v>183955.61767316842</v>
      </c>
      <c r="AX43" s="374">
        <f t="shared" si="44"/>
        <v>0</v>
      </c>
      <c r="AY43" s="184">
        <f t="shared" si="48"/>
        <v>21</v>
      </c>
      <c r="AZ43" s="146"/>
      <c r="BA43" s="146"/>
      <c r="BB43" s="146"/>
      <c r="BC43" s="146"/>
      <c r="BD43" s="146"/>
      <c r="BE43" s="146"/>
    </row>
    <row r="44" spans="1:57">
      <c r="A44" s="360">
        <f t="shared" si="45"/>
        <v>22</v>
      </c>
      <c r="B44" s="182">
        <f t="shared" si="21"/>
        <v>512272.46464578446</v>
      </c>
      <c r="C44" s="361">
        <f t="shared" si="22"/>
        <v>33126.384313410781</v>
      </c>
      <c r="D44" s="375">
        <f t="shared" si="23"/>
        <v>0</v>
      </c>
      <c r="E44" s="376">
        <f t="shared" si="46"/>
        <v>33126.384313410781</v>
      </c>
      <c r="F44" s="377">
        <f t="shared" ca="1" si="24"/>
        <v>7894.2008754576009</v>
      </c>
      <c r="G44" s="377">
        <f t="shared" ca="1" si="25"/>
        <v>41020.585188868383</v>
      </c>
      <c r="H44" s="382">
        <f t="shared" si="0"/>
        <v>1024.5449292915689</v>
      </c>
      <c r="I44" s="383">
        <f t="shared" si="1"/>
        <v>4306.4299607434014</v>
      </c>
      <c r="J44" s="383">
        <f t="shared" ca="1" si="2"/>
        <v>1280.6811616144612</v>
      </c>
      <c r="K44" s="383">
        <f t="shared" ca="1" si="3"/>
        <v>0</v>
      </c>
      <c r="L44" s="383">
        <f t="shared" ca="1" si="26"/>
        <v>0</v>
      </c>
      <c r="M44" s="386">
        <f t="shared" si="4"/>
        <v>10369.5</v>
      </c>
      <c r="N44" s="386">
        <f t="shared" ca="1" si="27"/>
        <v>16981.156051649432</v>
      </c>
      <c r="O44" s="493"/>
      <c r="P44" s="361">
        <f t="shared" ca="1" si="47"/>
        <v>24039.429137218951</v>
      </c>
      <c r="Q44" s="370">
        <f ca="1">Tax!AC17</f>
        <v>-3965.8248694049339</v>
      </c>
      <c r="R44" s="570">
        <f t="shared" ca="1" si="28"/>
        <v>20073.604267814018</v>
      </c>
      <c r="S44" s="377">
        <f t="shared" si="5"/>
        <v>1656.3192156705391</v>
      </c>
      <c r="T44" s="378">
        <f t="shared" si="6"/>
        <v>3312.6384313410781</v>
      </c>
      <c r="U44" s="586">
        <f t="shared" ca="1" si="29"/>
        <v>288182.59109674569</v>
      </c>
      <c r="V44" s="379">
        <f t="shared" si="7"/>
        <v>3312.6384313410781</v>
      </c>
      <c r="W44" s="380">
        <f t="shared" si="30"/>
        <v>1216.1720040633336</v>
      </c>
      <c r="X44" s="380">
        <f t="shared" si="8"/>
        <v>2561.3623232289224</v>
      </c>
      <c r="Y44" s="381">
        <f t="shared" si="9"/>
        <v>1280.6811616144612</v>
      </c>
      <c r="Z44" s="382">
        <f t="shared" si="31"/>
        <v>1280.6811616144612</v>
      </c>
      <c r="AA44" s="383">
        <f t="shared" si="10"/>
        <v>0</v>
      </c>
      <c r="AB44" s="384">
        <f t="shared" si="32"/>
        <v>43787.196075901069</v>
      </c>
      <c r="AC44" s="379">
        <f t="shared" ca="1" si="33"/>
        <v>7684.0869696867667</v>
      </c>
      <c r="AD44" s="380">
        <f t="shared" ca="1" si="34"/>
        <v>2029.5459887814222</v>
      </c>
      <c r="AE44" s="380">
        <f t="shared" si="11"/>
        <v>0</v>
      </c>
      <c r="AF44" s="381">
        <f t="shared" si="12"/>
        <v>0</v>
      </c>
      <c r="AG44" s="382">
        <f t="shared" ca="1" si="35"/>
        <v>0</v>
      </c>
      <c r="AH44" s="383">
        <f t="shared" ca="1" si="13"/>
        <v>0</v>
      </c>
      <c r="AI44" s="384">
        <f t="shared" ca="1" si="36"/>
        <v>77365.165917848935</v>
      </c>
      <c r="AJ44" s="590">
        <f t="shared" ca="1" si="49"/>
        <v>20073.604267814018</v>
      </c>
      <c r="AK44" s="385">
        <f t="shared" ca="1" si="15"/>
        <v>0</v>
      </c>
      <c r="AL44" s="591">
        <f t="shared" ca="1" si="37"/>
        <v>187470.07462789066</v>
      </c>
      <c r="AM44" s="388">
        <f t="shared" si="16"/>
        <v>1656.3192156705391</v>
      </c>
      <c r="AN44" s="389">
        <f t="shared" si="38"/>
        <v>1035.0531552472044</v>
      </c>
      <c r="AO44" s="390">
        <f t="shared" si="39"/>
        <v>37193.144212491221</v>
      </c>
      <c r="AP44" s="389">
        <f t="shared" si="17"/>
        <v>3312.6384313410781</v>
      </c>
      <c r="AQ44" s="389">
        <f t="shared" si="40"/>
        <v>2070.1063104944087</v>
      </c>
      <c r="AR44" s="389">
        <f t="shared" si="41"/>
        <v>74386.288424982442</v>
      </c>
      <c r="AS44" s="384">
        <f t="shared" si="42"/>
        <v>43787.196075901069</v>
      </c>
      <c r="AT44" s="390">
        <f t="shared" si="18"/>
        <v>155366.62871337472</v>
      </c>
      <c r="AU44" s="373">
        <f t="shared" si="19"/>
        <v>0.30328904916020505</v>
      </c>
      <c r="AV44" s="387">
        <f t="shared" si="43"/>
        <v>345650</v>
      </c>
      <c r="AW44" s="387">
        <f t="shared" si="20"/>
        <v>172633.37128662528</v>
      </c>
      <c r="AX44" s="374">
        <f t="shared" si="44"/>
        <v>0</v>
      </c>
      <c r="AY44" s="184">
        <f t="shared" si="48"/>
        <v>22</v>
      </c>
      <c r="AZ44" s="146"/>
      <c r="BA44" s="146"/>
      <c r="BB44" s="146"/>
      <c r="BC44" s="146"/>
      <c r="BD44" s="146"/>
      <c r="BE44" s="146"/>
    </row>
    <row r="45" spans="1:57">
      <c r="A45" s="360">
        <f t="shared" si="45"/>
        <v>23</v>
      </c>
      <c r="B45" s="182">
        <f t="shared" si="21"/>
        <v>525079.27626192907</v>
      </c>
      <c r="C45" s="361">
        <f t="shared" si="22"/>
        <v>34053.923074186285</v>
      </c>
      <c r="D45" s="375">
        <f t="shared" si="23"/>
        <v>0</v>
      </c>
      <c r="E45" s="376">
        <f t="shared" si="46"/>
        <v>34053.923074186285</v>
      </c>
      <c r="F45" s="377">
        <f t="shared" ca="1" si="24"/>
        <v>8645.4777329023709</v>
      </c>
      <c r="G45" s="377">
        <f t="shared" ca="1" si="25"/>
        <v>42699.400807088656</v>
      </c>
      <c r="H45" s="382">
        <f t="shared" si="0"/>
        <v>1050.1585525238581</v>
      </c>
      <c r="I45" s="383">
        <f t="shared" si="1"/>
        <v>4427.0099996442168</v>
      </c>
      <c r="J45" s="383">
        <f t="shared" ca="1" si="2"/>
        <v>1312.6981906548226</v>
      </c>
      <c r="K45" s="383">
        <f t="shared" ca="1" si="3"/>
        <v>0</v>
      </c>
      <c r="L45" s="383">
        <f t="shared" ca="1" si="26"/>
        <v>0</v>
      </c>
      <c r="M45" s="386">
        <f t="shared" si="4"/>
        <v>10369.5</v>
      </c>
      <c r="N45" s="386">
        <f t="shared" ca="1" si="27"/>
        <v>17159.366742822898</v>
      </c>
      <c r="O45" s="493"/>
      <c r="P45" s="361">
        <f t="shared" ca="1" si="47"/>
        <v>25540.034064265757</v>
      </c>
      <c r="Q45" s="370">
        <f ca="1">Tax!AD17</f>
        <v>-4250.9398055438269</v>
      </c>
      <c r="R45" s="570">
        <f t="shared" ca="1" si="28"/>
        <v>21289.094258721932</v>
      </c>
      <c r="S45" s="377">
        <f t="shared" si="5"/>
        <v>1702.6961537093143</v>
      </c>
      <c r="T45" s="378">
        <f t="shared" si="6"/>
        <v>3405.3923074186287</v>
      </c>
      <c r="U45" s="586">
        <f t="shared" ca="1" si="29"/>
        <v>314579.77381659555</v>
      </c>
      <c r="V45" s="379">
        <f t="shared" si="7"/>
        <v>3405.3923074186287</v>
      </c>
      <c r="W45" s="380">
        <f t="shared" si="30"/>
        <v>1313.6158822770319</v>
      </c>
      <c r="X45" s="380">
        <f t="shared" si="8"/>
        <v>2625.3963813096452</v>
      </c>
      <c r="Y45" s="381">
        <f t="shared" si="9"/>
        <v>1312.6981906548226</v>
      </c>
      <c r="Z45" s="382">
        <f t="shared" si="31"/>
        <v>1312.6981906548226</v>
      </c>
      <c r="AA45" s="383">
        <f t="shared" si="10"/>
        <v>0</v>
      </c>
      <c r="AB45" s="384">
        <f t="shared" si="32"/>
        <v>47193.506074941906</v>
      </c>
      <c r="AC45" s="379">
        <f t="shared" ca="1" si="33"/>
        <v>7876.1891439289357</v>
      </c>
      <c r="AD45" s="380">
        <f t="shared" ca="1" si="34"/>
        <v>2320.9549775354681</v>
      </c>
      <c r="AE45" s="380">
        <f t="shared" si="11"/>
        <v>0</v>
      </c>
      <c r="AF45" s="381">
        <f t="shared" si="12"/>
        <v>0</v>
      </c>
      <c r="AG45" s="382">
        <f t="shared" ca="1" si="35"/>
        <v>0</v>
      </c>
      <c r="AH45" s="383">
        <f t="shared" ca="1" si="13"/>
        <v>0</v>
      </c>
      <c r="AI45" s="384">
        <f t="shared" ca="1" si="36"/>
        <v>87562.310039313335</v>
      </c>
      <c r="AJ45" s="590">
        <f t="shared" ca="1" si="49"/>
        <v>21289.094258721932</v>
      </c>
      <c r="AK45" s="385">
        <f t="shared" ca="1" si="15"/>
        <v>0</v>
      </c>
      <c r="AL45" s="591">
        <f t="shared" ca="1" si="37"/>
        <v>208759.16888661258</v>
      </c>
      <c r="AM45" s="388">
        <f t="shared" si="16"/>
        <v>1702.6961537093143</v>
      </c>
      <c r="AN45" s="389">
        <f t="shared" si="38"/>
        <v>1115.7943263747366</v>
      </c>
      <c r="AO45" s="390">
        <f t="shared" si="39"/>
        <v>40011.634692575273</v>
      </c>
      <c r="AP45" s="389">
        <f t="shared" si="17"/>
        <v>3405.3923074186287</v>
      </c>
      <c r="AQ45" s="389">
        <f t="shared" si="40"/>
        <v>2231.5886527494731</v>
      </c>
      <c r="AR45" s="389">
        <f t="shared" si="41"/>
        <v>80023.269385150546</v>
      </c>
      <c r="AS45" s="384">
        <f t="shared" si="42"/>
        <v>47193.506074941906</v>
      </c>
      <c r="AT45" s="390">
        <f t="shared" si="18"/>
        <v>167228.41015266773</v>
      </c>
      <c r="AU45" s="373">
        <f t="shared" si="19"/>
        <v>0.31848221347293848</v>
      </c>
      <c r="AV45" s="387">
        <f t="shared" si="43"/>
        <v>345650</v>
      </c>
      <c r="AW45" s="387">
        <f t="shared" si="20"/>
        <v>160771.58984733227</v>
      </c>
      <c r="AX45" s="374">
        <f t="shared" si="44"/>
        <v>0</v>
      </c>
      <c r="AY45" s="184">
        <f t="shared" si="48"/>
        <v>23</v>
      </c>
      <c r="AZ45" s="146"/>
      <c r="BA45" s="146"/>
      <c r="BB45" s="146"/>
      <c r="BC45" s="146"/>
      <c r="BD45" s="146"/>
      <c r="BE45" s="146"/>
    </row>
    <row r="46" spans="1:57">
      <c r="A46" s="360">
        <f t="shared" si="45"/>
        <v>24</v>
      </c>
      <c r="B46" s="182">
        <f t="shared" si="21"/>
        <v>538206.25816847722</v>
      </c>
      <c r="C46" s="361">
        <f t="shared" si="22"/>
        <v>35007.432920263498</v>
      </c>
      <c r="D46" s="375">
        <f t="shared" si="23"/>
        <v>0</v>
      </c>
      <c r="E46" s="376">
        <f t="shared" si="46"/>
        <v>35007.432920263498</v>
      </c>
      <c r="F46" s="377">
        <f t="shared" ca="1" si="24"/>
        <v>9437.3932144978662</v>
      </c>
      <c r="G46" s="377">
        <f t="shared" ca="1" si="25"/>
        <v>44444.826134761366</v>
      </c>
      <c r="H46" s="382">
        <f t="shared" si="0"/>
        <v>1076.4125163369545</v>
      </c>
      <c r="I46" s="383">
        <f t="shared" si="1"/>
        <v>4550.9662796342545</v>
      </c>
      <c r="J46" s="383">
        <f t="shared" ca="1" si="2"/>
        <v>1345.5156454211931</v>
      </c>
      <c r="K46" s="383">
        <f t="shared" ca="1" si="3"/>
        <v>0</v>
      </c>
      <c r="L46" s="383">
        <f t="shared" ca="1" si="26"/>
        <v>0</v>
      </c>
      <c r="M46" s="386">
        <f t="shared" si="4"/>
        <v>10369.5</v>
      </c>
      <c r="N46" s="386">
        <f t="shared" ca="1" si="27"/>
        <v>17342.394441392404</v>
      </c>
      <c r="O46" s="493"/>
      <c r="P46" s="361">
        <f t="shared" ca="1" si="47"/>
        <v>27102.431693368962</v>
      </c>
      <c r="Q46" s="370">
        <f ca="1">Tax!AE17</f>
        <v>-4547.7953550734364</v>
      </c>
      <c r="R46" s="570">
        <f t="shared" ca="1" si="28"/>
        <v>22554.636338295524</v>
      </c>
      <c r="S46" s="377">
        <f t="shared" si="5"/>
        <v>1750.371646013175</v>
      </c>
      <c r="T46" s="378">
        <f t="shared" si="6"/>
        <v>3500.74329202635</v>
      </c>
      <c r="U46" s="586">
        <f t="shared" ca="1" si="29"/>
        <v>342385.52509293065</v>
      </c>
      <c r="V46" s="379">
        <f t="shared" si="7"/>
        <v>3500.74329202635</v>
      </c>
      <c r="W46" s="380">
        <f t="shared" si="30"/>
        <v>1415.8051822482571</v>
      </c>
      <c r="X46" s="380">
        <f t="shared" si="8"/>
        <v>2691.0312908423862</v>
      </c>
      <c r="Y46" s="381">
        <f t="shared" si="9"/>
        <v>1345.5156454211931</v>
      </c>
      <c r="Z46" s="382">
        <f t="shared" si="31"/>
        <v>1345.5156454211931</v>
      </c>
      <c r="AA46" s="383">
        <f t="shared" si="10"/>
        <v>0</v>
      </c>
      <c r="AB46" s="384">
        <f t="shared" si="32"/>
        <v>50764.538903795321</v>
      </c>
      <c r="AC46" s="379">
        <f t="shared" ca="1" si="33"/>
        <v>8073.0938725271581</v>
      </c>
      <c r="AD46" s="380">
        <f t="shared" ca="1" si="34"/>
        <v>2626.8693011793998</v>
      </c>
      <c r="AE46" s="380">
        <f t="shared" si="11"/>
        <v>0</v>
      </c>
      <c r="AF46" s="381">
        <f t="shared" si="12"/>
        <v>0</v>
      </c>
      <c r="AG46" s="382">
        <f t="shared" ca="1" si="35"/>
        <v>0</v>
      </c>
      <c r="AH46" s="383">
        <f t="shared" ca="1" si="13"/>
        <v>0</v>
      </c>
      <c r="AI46" s="384">
        <f t="shared" ca="1" si="36"/>
        <v>98262.273213019886</v>
      </c>
      <c r="AJ46" s="590">
        <f t="shared" ca="1" si="49"/>
        <v>22554.636338295524</v>
      </c>
      <c r="AK46" s="385">
        <f t="shared" ca="1" si="15"/>
        <v>0</v>
      </c>
      <c r="AL46" s="591">
        <f t="shared" ca="1" si="37"/>
        <v>231313.80522490811</v>
      </c>
      <c r="AM46" s="388">
        <f t="shared" si="16"/>
        <v>1750.371646013175</v>
      </c>
      <c r="AN46" s="389">
        <f t="shared" si="38"/>
        <v>1200.3490407772581</v>
      </c>
      <c r="AO46" s="390">
        <f t="shared" si="39"/>
        <v>42962.355379365705</v>
      </c>
      <c r="AP46" s="389">
        <f t="shared" si="17"/>
        <v>3500.74329202635</v>
      </c>
      <c r="AQ46" s="389">
        <f t="shared" si="40"/>
        <v>2400.6980815545162</v>
      </c>
      <c r="AR46" s="389">
        <f t="shared" si="41"/>
        <v>85924.710758731409</v>
      </c>
      <c r="AS46" s="384">
        <f t="shared" si="42"/>
        <v>50764.538903795321</v>
      </c>
      <c r="AT46" s="390">
        <f t="shared" si="18"/>
        <v>179651.60504189244</v>
      </c>
      <c r="AU46" s="373">
        <f t="shared" si="19"/>
        <v>0.33379694553023065</v>
      </c>
      <c r="AV46" s="387">
        <f t="shared" si="43"/>
        <v>345650</v>
      </c>
      <c r="AW46" s="387">
        <f t="shared" si="20"/>
        <v>148348.39495810756</v>
      </c>
      <c r="AX46" s="374">
        <f t="shared" si="44"/>
        <v>0</v>
      </c>
      <c r="AY46" s="184">
        <f t="shared" si="48"/>
        <v>24</v>
      </c>
      <c r="AZ46" s="146"/>
      <c r="BA46" s="146"/>
      <c r="BB46" s="146"/>
      <c r="BC46" s="146"/>
      <c r="BD46" s="146"/>
      <c r="BE46" s="146"/>
    </row>
    <row r="47" spans="1:57">
      <c r="A47" s="360">
        <f t="shared" si="45"/>
        <v>25</v>
      </c>
      <c r="B47" s="182">
        <f t="shared" si="21"/>
        <v>551661.41462268913</v>
      </c>
      <c r="C47" s="361">
        <f t="shared" si="22"/>
        <v>35987.641042030875</v>
      </c>
      <c r="D47" s="375">
        <f t="shared" si="23"/>
        <v>0</v>
      </c>
      <c r="E47" s="376">
        <f t="shared" si="46"/>
        <v>35987.641042030875</v>
      </c>
      <c r="F47" s="377">
        <f t="shared" ca="1" si="24"/>
        <v>10271.565752787919</v>
      </c>
      <c r="G47" s="377">
        <f t="shared" ca="1" si="25"/>
        <v>46259.206794818791</v>
      </c>
      <c r="H47" s="382">
        <f t="shared" si="0"/>
        <v>1103.3228292453782</v>
      </c>
      <c r="I47" s="383">
        <f t="shared" si="1"/>
        <v>4678.3933354640139</v>
      </c>
      <c r="J47" s="383">
        <f t="shared" ca="1" si="2"/>
        <v>1379.1535365567229</v>
      </c>
      <c r="K47" s="383">
        <f t="shared" ca="1" si="3"/>
        <v>0</v>
      </c>
      <c r="L47" s="383">
        <f t="shared" ca="1" si="26"/>
        <v>0</v>
      </c>
      <c r="M47" s="386">
        <f t="shared" si="4"/>
        <v>10369.5</v>
      </c>
      <c r="N47" s="386">
        <f t="shared" ca="1" si="27"/>
        <v>17530.369701266114</v>
      </c>
      <c r="O47" s="493"/>
      <c r="P47" s="361">
        <f t="shared" ca="1" si="47"/>
        <v>28728.837093552676</v>
      </c>
      <c r="Q47" s="370">
        <f ca="1">Tax!AE17</f>
        <v>-4547.7953550734364</v>
      </c>
      <c r="R47" s="570">
        <f t="shared" ca="1" si="28"/>
        <v>24181.041738479238</v>
      </c>
      <c r="S47" s="377">
        <f t="shared" si="5"/>
        <v>1799.3820521015439</v>
      </c>
      <c r="T47" s="378">
        <f t="shared" si="6"/>
        <v>3598.7641042030878</v>
      </c>
      <c r="U47" s="586">
        <f t="shared" ca="1" si="29"/>
        <v>371964.71298771456</v>
      </c>
      <c r="V47" s="379">
        <f t="shared" si="7"/>
        <v>3598.7641042030878</v>
      </c>
      <c r="W47" s="380">
        <f t="shared" si="30"/>
        <v>1522.9361671138595</v>
      </c>
      <c r="X47" s="380">
        <f t="shared" si="8"/>
        <v>2758.3070731134458</v>
      </c>
      <c r="Y47" s="381">
        <f t="shared" si="9"/>
        <v>1379.1535365567229</v>
      </c>
      <c r="Z47" s="382">
        <f t="shared" si="31"/>
        <v>1379.1535365567229</v>
      </c>
      <c r="AA47" s="383">
        <f t="shared" si="10"/>
        <v>0</v>
      </c>
      <c r="AB47" s="384">
        <f t="shared" si="32"/>
        <v>54507.085638555545</v>
      </c>
      <c r="AC47" s="379">
        <f t="shared" ca="1" si="33"/>
        <v>8274.9212193403364</v>
      </c>
      <c r="AD47" s="380">
        <f t="shared" ca="1" si="34"/>
        <v>2947.8681963905965</v>
      </c>
      <c r="AE47" s="380">
        <f t="shared" si="11"/>
        <v>0</v>
      </c>
      <c r="AF47" s="381">
        <f t="shared" si="12"/>
        <v>0</v>
      </c>
      <c r="AG47" s="382">
        <f t="shared" ca="1" si="35"/>
        <v>0</v>
      </c>
      <c r="AH47" s="383">
        <f t="shared" ca="1" si="13"/>
        <v>0</v>
      </c>
      <c r="AI47" s="384">
        <f t="shared" ca="1" si="36"/>
        <v>109485.06262875082</v>
      </c>
      <c r="AJ47" s="590">
        <f t="shared" ca="1" si="49"/>
        <v>24181.041738479238</v>
      </c>
      <c r="AK47" s="385">
        <f t="shared" ca="1" si="15"/>
        <v>0</v>
      </c>
      <c r="AL47" s="591">
        <f t="shared" ca="1" si="37"/>
        <v>255494.84696338733</v>
      </c>
      <c r="AM47" s="388">
        <f t="shared" si="16"/>
        <v>1799.3820521015439</v>
      </c>
      <c r="AN47" s="389">
        <f t="shared" si="38"/>
        <v>1288.8706613809711</v>
      </c>
      <c r="AO47" s="390">
        <f t="shared" si="39"/>
        <v>46050.608092848219</v>
      </c>
      <c r="AP47" s="389">
        <f t="shared" si="17"/>
        <v>3598.7641042030878</v>
      </c>
      <c r="AQ47" s="389">
        <f t="shared" si="40"/>
        <v>2577.7413227619422</v>
      </c>
      <c r="AR47" s="389">
        <f t="shared" si="41"/>
        <v>92101.216185696438</v>
      </c>
      <c r="AS47" s="384">
        <f t="shared" si="42"/>
        <v>54507.085638555545</v>
      </c>
      <c r="AT47" s="390">
        <f t="shared" si="18"/>
        <v>192658.90991710022</v>
      </c>
      <c r="AU47" s="373">
        <f t="shared" si="19"/>
        <v>0.34923397723741473</v>
      </c>
      <c r="AV47" s="387">
        <f t="shared" si="43"/>
        <v>345650</v>
      </c>
      <c r="AW47" s="387">
        <f t="shared" si="20"/>
        <v>135341.09008289978</v>
      </c>
      <c r="AX47" s="374">
        <f t="shared" si="44"/>
        <v>0</v>
      </c>
      <c r="AY47" s="184">
        <f t="shared" si="48"/>
        <v>25</v>
      </c>
      <c r="AZ47" s="146"/>
      <c r="BA47" s="146"/>
      <c r="BB47" s="146"/>
      <c r="BC47" s="146"/>
      <c r="BD47" s="146"/>
      <c r="BE47" s="146"/>
    </row>
    <row r="48" spans="1:57">
      <c r="A48" s="360">
        <f t="shared" si="45"/>
        <v>26</v>
      </c>
      <c r="B48" s="182">
        <f t="shared" si="21"/>
        <v>565452.94998825633</v>
      </c>
      <c r="C48" s="361">
        <f t="shared" si="22"/>
        <v>36995.294991207738</v>
      </c>
      <c r="D48" s="375">
        <f t="shared" si="23"/>
        <v>0</v>
      </c>
      <c r="E48" s="376">
        <f t="shared" si="46"/>
        <v>36995.294991207738</v>
      </c>
      <c r="F48" s="377">
        <f t="shared" ca="1" si="24"/>
        <v>11158.941389631436</v>
      </c>
      <c r="G48" s="377">
        <f t="shared" ca="1" si="25"/>
        <v>48154.236380839175</v>
      </c>
      <c r="H48" s="382">
        <f t="shared" si="0"/>
        <v>1130.9058999765127</v>
      </c>
      <c r="I48" s="383">
        <f t="shared" si="1"/>
        <v>4809.3883488570063</v>
      </c>
      <c r="J48" s="383">
        <f t="shared" ca="1" si="2"/>
        <v>1413.6323749706407</v>
      </c>
      <c r="K48" s="383">
        <f t="shared" ca="1" si="3"/>
        <v>0</v>
      </c>
      <c r="L48" s="383">
        <f t="shared" ca="1" si="26"/>
        <v>0</v>
      </c>
      <c r="M48" s="386">
        <f t="shared" si="4"/>
        <v>10369.5</v>
      </c>
      <c r="N48" s="386">
        <f t="shared" ca="1" si="27"/>
        <v>17723.42662380416</v>
      </c>
      <c r="O48" s="493"/>
      <c r="P48" s="361">
        <f t="shared" ca="1" si="47"/>
        <v>30430.809757035015</v>
      </c>
      <c r="Q48" s="370">
        <f ca="1">Tax!AG17</f>
        <v>-5180.1871871699859</v>
      </c>
      <c r="R48" s="570">
        <f t="shared" ca="1" si="28"/>
        <v>25250.622569865031</v>
      </c>
      <c r="S48" s="377">
        <f t="shared" si="5"/>
        <v>1849.7647495603869</v>
      </c>
      <c r="T48" s="378">
        <f t="shared" si="6"/>
        <v>3699.5294991207738</v>
      </c>
      <c r="U48" s="586">
        <f t="shared" ca="1" si="29"/>
        <v>402764.62980626081</v>
      </c>
      <c r="V48" s="379">
        <f t="shared" si="7"/>
        <v>3699.5294991207738</v>
      </c>
      <c r="W48" s="380">
        <f t="shared" si="30"/>
        <v>1635.2125691566664</v>
      </c>
      <c r="X48" s="380">
        <f t="shared" si="8"/>
        <v>2827.2647499412815</v>
      </c>
      <c r="Y48" s="381">
        <f t="shared" si="9"/>
        <v>1413.6323749706407</v>
      </c>
      <c r="Z48" s="382">
        <f t="shared" si="31"/>
        <v>1413.6323749706407</v>
      </c>
      <c r="AA48" s="383">
        <f t="shared" si="10"/>
        <v>0</v>
      </c>
      <c r="AB48" s="384">
        <f t="shared" si="32"/>
        <v>58428.195331862342</v>
      </c>
      <c r="AC48" s="379">
        <f t="shared" ca="1" si="33"/>
        <v>8481.7942498238444</v>
      </c>
      <c r="AD48" s="380">
        <f t="shared" ca="1" si="34"/>
        <v>3284.5518788625245</v>
      </c>
      <c r="AE48" s="380">
        <f t="shared" si="11"/>
        <v>0</v>
      </c>
      <c r="AF48" s="381">
        <f t="shared" si="12"/>
        <v>0</v>
      </c>
      <c r="AG48" s="382">
        <f t="shared" ca="1" si="35"/>
        <v>0</v>
      </c>
      <c r="AH48" s="383">
        <f t="shared" ca="1" si="13"/>
        <v>0</v>
      </c>
      <c r="AI48" s="384">
        <f t="shared" ca="1" si="36"/>
        <v>121251.4087574372</v>
      </c>
      <c r="AJ48" s="590">
        <f t="shared" ca="1" si="49"/>
        <v>25250.622569865031</v>
      </c>
      <c r="AK48" s="385">
        <f t="shared" ca="1" si="15"/>
        <v>0</v>
      </c>
      <c r="AL48" s="591">
        <f t="shared" ca="1" si="37"/>
        <v>280745.46953325236</v>
      </c>
      <c r="AM48" s="388">
        <f t="shared" si="16"/>
        <v>1849.7647495603869</v>
      </c>
      <c r="AN48" s="389">
        <f t="shared" si="38"/>
        <v>1381.5182427854465</v>
      </c>
      <c r="AO48" s="390">
        <f t="shared" si="39"/>
        <v>49281.891085194053</v>
      </c>
      <c r="AP48" s="389">
        <f t="shared" si="17"/>
        <v>3699.5294991207738</v>
      </c>
      <c r="AQ48" s="389">
        <f t="shared" si="40"/>
        <v>2763.0364855708931</v>
      </c>
      <c r="AR48" s="389">
        <f t="shared" si="41"/>
        <v>98563.782170388105</v>
      </c>
      <c r="AS48" s="384">
        <f t="shared" si="42"/>
        <v>58428.195331862342</v>
      </c>
      <c r="AT48" s="390">
        <f t="shared" si="18"/>
        <v>206273.86858744451</v>
      </c>
      <c r="AU48" s="373">
        <f t="shared" si="19"/>
        <v>0.36479404447660679</v>
      </c>
      <c r="AV48" s="387">
        <f t="shared" si="43"/>
        <v>345650</v>
      </c>
      <c r="AW48" s="387">
        <f t="shared" si="20"/>
        <v>121726.13141255549</v>
      </c>
      <c r="AX48" s="374">
        <f t="shared" si="44"/>
        <v>0</v>
      </c>
      <c r="AY48" s="184">
        <f t="shared" si="48"/>
        <v>26</v>
      </c>
      <c r="AZ48" s="146"/>
      <c r="BA48" s="146"/>
      <c r="BB48" s="146"/>
      <c r="BC48" s="146"/>
      <c r="BD48" s="146"/>
      <c r="BE48" s="146"/>
    </row>
    <row r="49" spans="1:57">
      <c r="A49" s="360">
        <f t="shared" si="45"/>
        <v>27</v>
      </c>
      <c r="B49" s="182">
        <f t="shared" si="21"/>
        <v>579589.27373796271</v>
      </c>
      <c r="C49" s="361">
        <f t="shared" si="22"/>
        <v>38031.163250961559</v>
      </c>
      <c r="D49" s="375">
        <f t="shared" si="23"/>
        <v>0</v>
      </c>
      <c r="E49" s="376">
        <f t="shared" si="46"/>
        <v>38031.163250961559</v>
      </c>
      <c r="F49" s="377">
        <f t="shared" ca="1" si="24"/>
        <v>12082.938894187824</v>
      </c>
      <c r="G49" s="377">
        <f t="shared" ca="1" si="25"/>
        <v>50114.102145149387</v>
      </c>
      <c r="H49" s="382">
        <f t="shared" si="0"/>
        <v>1159.1785474759254</v>
      </c>
      <c r="I49" s="383">
        <f t="shared" si="1"/>
        <v>4944.051222625003</v>
      </c>
      <c r="J49" s="383">
        <f t="shared" ca="1" si="2"/>
        <v>1448.9731843449067</v>
      </c>
      <c r="K49" s="383">
        <f t="shared" ca="1" si="3"/>
        <v>0</v>
      </c>
      <c r="L49" s="383">
        <f t="shared" ca="1" si="26"/>
        <v>0</v>
      </c>
      <c r="M49" s="386">
        <f t="shared" si="4"/>
        <v>10369.5</v>
      </c>
      <c r="N49" s="386">
        <f t="shared" ca="1" si="27"/>
        <v>17921.702954445835</v>
      </c>
      <c r="O49" s="493"/>
      <c r="P49" s="361">
        <f t="shared" ca="1" si="47"/>
        <v>32192.399190703552</v>
      </c>
      <c r="Q49" s="370">
        <f ca="1">Tax!AH17</f>
        <v>-5514.8891795670079</v>
      </c>
      <c r="R49" s="570">
        <f t="shared" ca="1" si="28"/>
        <v>26677.510011136546</v>
      </c>
      <c r="S49" s="377">
        <f t="shared" si="5"/>
        <v>1901.5581625480781</v>
      </c>
      <c r="T49" s="378">
        <f t="shared" si="6"/>
        <v>3803.1163250961563</v>
      </c>
      <c r="U49" s="586">
        <f t="shared" ca="1" si="29"/>
        <v>435146.81430504157</v>
      </c>
      <c r="V49" s="379">
        <f t="shared" si="7"/>
        <v>3803.1163250961563</v>
      </c>
      <c r="W49" s="380">
        <f t="shared" si="30"/>
        <v>1752.8458599558701</v>
      </c>
      <c r="X49" s="380">
        <f t="shared" si="8"/>
        <v>2897.9463686898134</v>
      </c>
      <c r="Y49" s="381">
        <f t="shared" si="9"/>
        <v>1448.9731843449067</v>
      </c>
      <c r="Z49" s="382">
        <f t="shared" si="31"/>
        <v>1448.9731843449067</v>
      </c>
      <c r="AA49" s="383">
        <f t="shared" si="10"/>
        <v>0</v>
      </c>
      <c r="AB49" s="384">
        <f t="shared" si="32"/>
        <v>62535.184332569464</v>
      </c>
      <c r="AC49" s="379">
        <f t="shared" ca="1" si="33"/>
        <v>8693.8391060694412</v>
      </c>
      <c r="AD49" s="380">
        <f t="shared" ca="1" si="34"/>
        <v>3637.5422627231155</v>
      </c>
      <c r="AE49" s="380">
        <f t="shared" si="11"/>
        <v>0</v>
      </c>
      <c r="AF49" s="381">
        <f t="shared" si="12"/>
        <v>0</v>
      </c>
      <c r="AG49" s="382">
        <f t="shared" ca="1" si="35"/>
        <v>0</v>
      </c>
      <c r="AH49" s="383">
        <f t="shared" ca="1" si="13"/>
        <v>0</v>
      </c>
      <c r="AI49" s="384">
        <f t="shared" ca="1" si="36"/>
        <v>133582.79012622975</v>
      </c>
      <c r="AJ49" s="590">
        <f t="shared" ca="1" si="49"/>
        <v>26677.510011136546</v>
      </c>
      <c r="AK49" s="385">
        <f t="shared" ca="1" si="15"/>
        <v>0</v>
      </c>
      <c r="AL49" s="591">
        <f t="shared" ca="1" si="37"/>
        <v>307422.97954438889</v>
      </c>
      <c r="AM49" s="388">
        <f t="shared" si="16"/>
        <v>1901.5581625480781</v>
      </c>
      <c r="AN49" s="389">
        <f t="shared" si="38"/>
        <v>1478.4567325558214</v>
      </c>
      <c r="AO49" s="390">
        <f t="shared" si="39"/>
        <v>52661.905980297954</v>
      </c>
      <c r="AP49" s="389">
        <f t="shared" si="17"/>
        <v>3803.1163250961563</v>
      </c>
      <c r="AQ49" s="389">
        <f t="shared" si="40"/>
        <v>2956.9134651116428</v>
      </c>
      <c r="AR49" s="389">
        <f t="shared" si="41"/>
        <v>105323.81196059591</v>
      </c>
      <c r="AS49" s="384">
        <f t="shared" si="42"/>
        <v>62535.184332569464</v>
      </c>
      <c r="AT49" s="390">
        <f t="shared" si="18"/>
        <v>220520.90227346332</v>
      </c>
      <c r="AU49" s="373">
        <f t="shared" si="19"/>
        <v>0.38047788712729474</v>
      </c>
      <c r="AV49" s="387">
        <f t="shared" si="43"/>
        <v>345650</v>
      </c>
      <c r="AW49" s="387">
        <f t="shared" si="20"/>
        <v>107479.09772653668</v>
      </c>
      <c r="AX49" s="374">
        <f t="shared" si="44"/>
        <v>0</v>
      </c>
      <c r="AY49" s="184">
        <f t="shared" si="48"/>
        <v>27</v>
      </c>
      <c r="AZ49" s="146"/>
      <c r="BA49" s="146"/>
      <c r="BB49" s="146"/>
      <c r="BC49" s="146"/>
      <c r="BD49" s="146"/>
      <c r="BE49" s="146"/>
    </row>
    <row r="50" spans="1:57">
      <c r="A50" s="360">
        <f t="shared" si="45"/>
        <v>28</v>
      </c>
      <c r="B50" s="182">
        <f t="shared" si="21"/>
        <v>594079.00558141177</v>
      </c>
      <c r="C50" s="361">
        <f t="shared" si="22"/>
        <v>39096.035821988487</v>
      </c>
      <c r="D50" s="375">
        <f t="shared" si="23"/>
        <v>0</v>
      </c>
      <c r="E50" s="376">
        <f t="shared" si="46"/>
        <v>39096.035821988487</v>
      </c>
      <c r="F50" s="377">
        <f t="shared" ca="1" si="24"/>
        <v>13054.404429151247</v>
      </c>
      <c r="G50" s="377">
        <f t="shared" ca="1" si="25"/>
        <v>52150.440251139735</v>
      </c>
      <c r="H50" s="382">
        <f t="shared" si="0"/>
        <v>1188.1580111628236</v>
      </c>
      <c r="I50" s="383">
        <f t="shared" si="1"/>
        <v>5082.4846568585035</v>
      </c>
      <c r="J50" s="383">
        <f t="shared" ca="1" si="2"/>
        <v>1485.1975139535296</v>
      </c>
      <c r="K50" s="383">
        <f t="shared" ca="1" si="3"/>
        <v>0</v>
      </c>
      <c r="L50" s="383">
        <f t="shared" ca="1" si="26"/>
        <v>0</v>
      </c>
      <c r="M50" s="386">
        <f t="shared" si="4"/>
        <v>10369.5</v>
      </c>
      <c r="N50" s="386">
        <f t="shared" ca="1" si="27"/>
        <v>18125.340181974858</v>
      </c>
      <c r="O50" s="493"/>
      <c r="P50" s="361">
        <f t="shared" ca="1" si="47"/>
        <v>34025.100069164881</v>
      </c>
      <c r="Q50" s="370">
        <f ca="1">Tax!AI17</f>
        <v>-5863.1023464746604</v>
      </c>
      <c r="R50" s="570">
        <f t="shared" ca="1" si="28"/>
        <v>28161.997722690219</v>
      </c>
      <c r="S50" s="377">
        <f t="shared" si="5"/>
        <v>1954.8017910994245</v>
      </c>
      <c r="T50" s="378">
        <f t="shared" si="6"/>
        <v>3909.6035821988489</v>
      </c>
      <c r="U50" s="586">
        <f t="shared" ca="1" si="29"/>
        <v>469173.21740103007</v>
      </c>
      <c r="V50" s="379">
        <f t="shared" si="7"/>
        <v>3909.6035821988489</v>
      </c>
      <c r="W50" s="380">
        <f t="shared" si="30"/>
        <v>1876.0555299770838</v>
      </c>
      <c r="X50" s="380">
        <f t="shared" si="8"/>
        <v>2970.3950279070591</v>
      </c>
      <c r="Y50" s="381">
        <f t="shared" si="9"/>
        <v>1485.1975139535296</v>
      </c>
      <c r="Z50" s="382">
        <f t="shared" si="31"/>
        <v>1485.1975139535296</v>
      </c>
      <c r="AA50" s="383">
        <f t="shared" si="10"/>
        <v>0</v>
      </c>
      <c r="AB50" s="384">
        <f t="shared" si="32"/>
        <v>66835.64593079187</v>
      </c>
      <c r="AC50" s="379">
        <f t="shared" ca="1" si="33"/>
        <v>8911.1850837211769</v>
      </c>
      <c r="AD50" s="380">
        <f t="shared" ca="1" si="34"/>
        <v>4007.4837037868924</v>
      </c>
      <c r="AE50" s="380">
        <f t="shared" si="11"/>
        <v>0</v>
      </c>
      <c r="AF50" s="381">
        <f t="shared" si="12"/>
        <v>0</v>
      </c>
      <c r="AG50" s="382">
        <f t="shared" ca="1" si="35"/>
        <v>0</v>
      </c>
      <c r="AH50" s="383">
        <f t="shared" ca="1" si="13"/>
        <v>0</v>
      </c>
      <c r="AI50" s="384">
        <f t="shared" ca="1" si="36"/>
        <v>146501.45891373782</v>
      </c>
      <c r="AJ50" s="590">
        <f t="shared" ca="1" si="49"/>
        <v>28161.997722690219</v>
      </c>
      <c r="AK50" s="385">
        <f t="shared" ca="1" si="15"/>
        <v>0</v>
      </c>
      <c r="AL50" s="591">
        <f t="shared" ca="1" si="37"/>
        <v>335584.97726707911</v>
      </c>
      <c r="AM50" s="388">
        <f t="shared" si="16"/>
        <v>1954.8017910994245</v>
      </c>
      <c r="AN50" s="389">
        <f t="shared" si="38"/>
        <v>1579.8571794089385</v>
      </c>
      <c r="AO50" s="390">
        <f t="shared" si="39"/>
        <v>56196.564950806314</v>
      </c>
      <c r="AP50" s="389">
        <f t="shared" si="17"/>
        <v>3909.6035821988489</v>
      </c>
      <c r="AQ50" s="389">
        <f t="shared" si="40"/>
        <v>3159.7143588178769</v>
      </c>
      <c r="AR50" s="389">
        <f t="shared" si="41"/>
        <v>112393.12990161263</v>
      </c>
      <c r="AS50" s="384">
        <f t="shared" si="42"/>
        <v>66835.64593079187</v>
      </c>
      <c r="AT50" s="390">
        <f t="shared" si="18"/>
        <v>235425.34078321082</v>
      </c>
      <c r="AU50" s="373">
        <f t="shared" si="19"/>
        <v>0.39628624908703064</v>
      </c>
      <c r="AV50" s="387">
        <f t="shared" si="43"/>
        <v>345650</v>
      </c>
      <c r="AW50" s="387">
        <f t="shared" si="20"/>
        <v>92574.659216789179</v>
      </c>
      <c r="AX50" s="374">
        <f t="shared" si="44"/>
        <v>0</v>
      </c>
      <c r="AY50" s="184">
        <f t="shared" si="48"/>
        <v>28</v>
      </c>
      <c r="AZ50" s="146"/>
      <c r="BA50" s="146"/>
      <c r="BB50" s="146"/>
      <c r="BC50" s="146"/>
      <c r="BD50" s="146"/>
      <c r="BE50" s="146"/>
    </row>
    <row r="51" spans="1:57">
      <c r="A51" s="360">
        <f t="shared" si="45"/>
        <v>29</v>
      </c>
      <c r="B51" s="182">
        <f t="shared" si="21"/>
        <v>608930.98072094703</v>
      </c>
      <c r="C51" s="361">
        <f t="shared" si="22"/>
        <v>40190.724825004167</v>
      </c>
      <c r="D51" s="375">
        <f t="shared" si="23"/>
        <v>0</v>
      </c>
      <c r="E51" s="376">
        <f t="shared" si="46"/>
        <v>40190.724825004167</v>
      </c>
      <c r="F51" s="377">
        <f t="shared" ca="1" si="24"/>
        <v>14075.196522030901</v>
      </c>
      <c r="G51" s="377">
        <f t="shared" ca="1" si="25"/>
        <v>54265.921347035066</v>
      </c>
      <c r="H51" s="382">
        <f t="shared" si="0"/>
        <v>1217.861961441894</v>
      </c>
      <c r="I51" s="383">
        <f t="shared" si="1"/>
        <v>5224.7942272505416</v>
      </c>
      <c r="J51" s="383">
        <f t="shared" ca="1" si="2"/>
        <v>1522.3274518023677</v>
      </c>
      <c r="K51" s="383">
        <f t="shared" ca="1" si="3"/>
        <v>0</v>
      </c>
      <c r="L51" s="383">
        <f t="shared" ca="1" si="26"/>
        <v>0</v>
      </c>
      <c r="M51" s="386">
        <f t="shared" si="4"/>
        <v>10369.5</v>
      </c>
      <c r="N51" s="386">
        <f t="shared" ca="1" si="27"/>
        <v>18334.483640494804</v>
      </c>
      <c r="O51" s="493"/>
      <c r="P51" s="361">
        <f t="shared" ca="1" si="47"/>
        <v>35931.437706540266</v>
      </c>
      <c r="Q51" s="370">
        <f ca="1">Tax!AJ17</f>
        <v>-6225.3064975759835</v>
      </c>
      <c r="R51" s="570">
        <f t="shared" ca="1" si="28"/>
        <v>29706.131208964282</v>
      </c>
      <c r="S51" s="377">
        <f t="shared" si="5"/>
        <v>2009.5362412502084</v>
      </c>
      <c r="T51" s="378">
        <f t="shared" si="6"/>
        <v>4019.0724825004168</v>
      </c>
      <c r="U51" s="586">
        <f t="shared" ca="1" si="29"/>
        <v>504907.95733374491</v>
      </c>
      <c r="V51" s="379">
        <f t="shared" si="7"/>
        <v>4019.0724825004168</v>
      </c>
      <c r="W51" s="380">
        <f t="shared" si="30"/>
        <v>2005.0693779237561</v>
      </c>
      <c r="X51" s="380">
        <f t="shared" si="8"/>
        <v>3044.6549036047354</v>
      </c>
      <c r="Y51" s="381">
        <f t="shared" si="9"/>
        <v>1522.3274518023677</v>
      </c>
      <c r="Z51" s="382">
        <f t="shared" si="31"/>
        <v>1522.3274518023677</v>
      </c>
      <c r="AA51" s="383">
        <f t="shared" si="10"/>
        <v>0</v>
      </c>
      <c r="AB51" s="384">
        <f t="shared" si="32"/>
        <v>71337.460339413679</v>
      </c>
      <c r="AC51" s="379">
        <f t="shared" ca="1" si="33"/>
        <v>9133.9647108142053</v>
      </c>
      <c r="AD51" s="380">
        <f t="shared" ca="1" si="34"/>
        <v>4395.0437674121349</v>
      </c>
      <c r="AE51" s="380">
        <f t="shared" si="11"/>
        <v>0</v>
      </c>
      <c r="AF51" s="381">
        <f t="shared" si="12"/>
        <v>0</v>
      </c>
      <c r="AG51" s="382">
        <f t="shared" ca="1" si="35"/>
        <v>0</v>
      </c>
      <c r="AH51" s="383">
        <f t="shared" ca="1" si="13"/>
        <v>0</v>
      </c>
      <c r="AI51" s="384">
        <f t="shared" ca="1" si="36"/>
        <v>160030.46739196416</v>
      </c>
      <c r="AJ51" s="590">
        <f t="shared" ca="1" si="49"/>
        <v>29706.131208964282</v>
      </c>
      <c r="AK51" s="385">
        <f t="shared" ca="1" si="15"/>
        <v>0</v>
      </c>
      <c r="AL51" s="591">
        <f t="shared" ca="1" si="37"/>
        <v>365291.10847604339</v>
      </c>
      <c r="AM51" s="388">
        <f t="shared" si="16"/>
        <v>2009.5362412502084</v>
      </c>
      <c r="AN51" s="389">
        <f t="shared" si="38"/>
        <v>1685.8969485241894</v>
      </c>
      <c r="AO51" s="390">
        <f t="shared" si="39"/>
        <v>59891.998140580712</v>
      </c>
      <c r="AP51" s="389">
        <f t="shared" si="17"/>
        <v>4019.0724825004168</v>
      </c>
      <c r="AQ51" s="389">
        <f t="shared" si="40"/>
        <v>3371.7938970483788</v>
      </c>
      <c r="AR51" s="389">
        <f t="shared" si="41"/>
        <v>119783.99628116142</v>
      </c>
      <c r="AS51" s="384">
        <f t="shared" si="42"/>
        <v>71337.460339413679</v>
      </c>
      <c r="AT51" s="390">
        <f t="shared" si="18"/>
        <v>251013.45476115582</v>
      </c>
      <c r="AU51" s="373">
        <f t="shared" si="19"/>
        <v>0.412219878292228</v>
      </c>
      <c r="AV51" s="387">
        <f t="shared" si="43"/>
        <v>345650</v>
      </c>
      <c r="AW51" s="387">
        <f t="shared" si="20"/>
        <v>76986.545238844177</v>
      </c>
      <c r="AX51" s="374">
        <f t="shared" si="44"/>
        <v>0</v>
      </c>
      <c r="AY51" s="184">
        <f t="shared" si="48"/>
        <v>29</v>
      </c>
      <c r="AZ51" s="146"/>
      <c r="BA51" s="146"/>
      <c r="BB51" s="146"/>
      <c r="BC51" s="146"/>
      <c r="BD51" s="146"/>
      <c r="BE51" s="146"/>
    </row>
    <row r="52" spans="1:57">
      <c r="A52" s="360">
        <f t="shared" si="45"/>
        <v>30</v>
      </c>
      <c r="B52" s="182">
        <f t="shared" si="21"/>
        <v>624154.25523897063</v>
      </c>
      <c r="C52" s="361">
        <f t="shared" si="22"/>
        <v>41316.065120104286</v>
      </c>
      <c r="D52" s="375">
        <f t="shared" si="23"/>
        <v>0</v>
      </c>
      <c r="E52" s="376">
        <f t="shared" si="46"/>
        <v>41316.065120104286</v>
      </c>
      <c r="F52" s="377">
        <f t="shared" ca="1" si="24"/>
        <v>15147.238720012347</v>
      </c>
      <c r="G52" s="377">
        <f t="shared" ca="1" si="25"/>
        <v>56463.303840116634</v>
      </c>
      <c r="H52" s="382">
        <f t="shared" si="0"/>
        <v>1248.3085104779414</v>
      </c>
      <c r="I52" s="383">
        <f t="shared" si="1"/>
        <v>5371.0884656135577</v>
      </c>
      <c r="J52" s="383">
        <f t="shared" ca="1" si="2"/>
        <v>48371.95478102022</v>
      </c>
      <c r="K52" s="383">
        <f t="shared" ca="1" si="3"/>
        <v>0</v>
      </c>
      <c r="L52" s="383">
        <f t="shared" ca="1" si="26"/>
        <v>0</v>
      </c>
      <c r="M52" s="386">
        <f t="shared" si="4"/>
        <v>10369.5</v>
      </c>
      <c r="N52" s="386">
        <f t="shared" ca="1" si="27"/>
        <v>65360.851757111719</v>
      </c>
      <c r="O52" s="493"/>
      <c r="P52" s="361">
        <f t="shared" ca="1" si="47"/>
        <v>-8897.547916995085</v>
      </c>
      <c r="Q52" s="370">
        <f ca="1">Tax!AK17</f>
        <v>0</v>
      </c>
      <c r="R52" s="570">
        <f t="shared" ca="1" si="28"/>
        <v>-8897.547916995085</v>
      </c>
      <c r="S52" s="377">
        <f t="shared" si="5"/>
        <v>2065.8032560052143</v>
      </c>
      <c r="T52" s="378">
        <f t="shared" si="6"/>
        <v>4131.6065120104286</v>
      </c>
      <c r="U52" s="586">
        <f t="shared" ca="1" si="29"/>
        <v>502207.81918476551</v>
      </c>
      <c r="V52" s="379">
        <f t="shared" si="7"/>
        <v>4131.6065120104286</v>
      </c>
      <c r="W52" s="380">
        <f t="shared" si="30"/>
        <v>2140.1238101824101</v>
      </c>
      <c r="X52" s="380">
        <f t="shared" si="8"/>
        <v>3120.7712761948533</v>
      </c>
      <c r="Y52" s="381">
        <f t="shared" si="9"/>
        <v>1560.3856380974266</v>
      </c>
      <c r="Z52" s="382">
        <f t="shared" si="31"/>
        <v>1560.3856380974266</v>
      </c>
      <c r="AA52" s="383">
        <f t="shared" si="10"/>
        <v>0</v>
      </c>
      <c r="AB52" s="384">
        <f t="shared" si="32"/>
        <v>76048.805023509092</v>
      </c>
      <c r="AC52" s="379">
        <f t="shared" ca="1" si="33"/>
        <v>9362.3138285845598</v>
      </c>
      <c r="AD52" s="380">
        <f t="shared" ca="1" si="34"/>
        <v>4800.9140217589247</v>
      </c>
      <c r="AE52" s="380">
        <f t="shared" si="11"/>
        <v>93623.138285845591</v>
      </c>
      <c r="AF52" s="381">
        <f t="shared" si="12"/>
        <v>46811.569142922795</v>
      </c>
      <c r="AG52" s="382">
        <f t="shared" ca="1" si="35"/>
        <v>46811.569142922795</v>
      </c>
      <c r="AH52" s="383">
        <f t="shared" ca="1" si="13"/>
        <v>0</v>
      </c>
      <c r="AI52" s="384">
        <f t="shared" ca="1" si="36"/>
        <v>127382.12609938486</v>
      </c>
      <c r="AJ52" s="590">
        <f t="shared" ca="1" si="49"/>
        <v>-8897.547916995085</v>
      </c>
      <c r="AK52" s="385">
        <f t="shared" ca="1" si="15"/>
        <v>0</v>
      </c>
      <c r="AL52" s="591">
        <f t="shared" ca="1" si="37"/>
        <v>356393.56055904832</v>
      </c>
      <c r="AM52" s="388">
        <f t="shared" si="16"/>
        <v>2065.8032560052143</v>
      </c>
      <c r="AN52" s="389">
        <f t="shared" si="38"/>
        <v>1796.7599442174212</v>
      </c>
      <c r="AO52" s="390">
        <f t="shared" si="39"/>
        <v>63754.561340803346</v>
      </c>
      <c r="AP52" s="389">
        <f t="shared" si="17"/>
        <v>4131.6065120104286</v>
      </c>
      <c r="AQ52" s="389">
        <f t="shared" si="40"/>
        <v>3593.5198884348424</v>
      </c>
      <c r="AR52" s="389">
        <f t="shared" si="41"/>
        <v>127509.12268160669</v>
      </c>
      <c r="AS52" s="384">
        <f t="shared" ca="1" si="42"/>
        <v>203430.93112289393</v>
      </c>
      <c r="AT52" s="390">
        <f t="shared" ca="1" si="18"/>
        <v>394694.61514530401</v>
      </c>
      <c r="AU52" s="373">
        <f t="shared" ca="1" si="19"/>
        <v>0.63236709808889602</v>
      </c>
      <c r="AV52" s="387">
        <f t="shared" si="43"/>
        <v>345650</v>
      </c>
      <c r="AW52" s="387">
        <f t="shared" ca="1" si="20"/>
        <v>-66694.615145304007</v>
      </c>
      <c r="AX52" s="374">
        <f t="shared" si="44"/>
        <v>0</v>
      </c>
      <c r="AY52" s="184">
        <f t="shared" si="48"/>
        <v>30</v>
      </c>
      <c r="AZ52" s="146"/>
      <c r="BA52" s="146"/>
      <c r="BB52" s="146"/>
      <c r="BC52" s="146"/>
      <c r="BD52" s="146"/>
      <c r="BE52" s="146"/>
    </row>
    <row r="53" spans="1:57">
      <c r="A53" s="360">
        <f t="shared" si="45"/>
        <v>31</v>
      </c>
      <c r="B53" s="182">
        <f t="shared" si="21"/>
        <v>639758.1116199448</v>
      </c>
      <c r="C53" s="361">
        <f t="shared" si="22"/>
        <v>42472.914943467207</v>
      </c>
      <c r="D53" s="375">
        <f t="shared" si="23"/>
        <v>0</v>
      </c>
      <c r="E53" s="376">
        <f t="shared" si="46"/>
        <v>42472.914943467207</v>
      </c>
      <c r="F53" s="377">
        <f t="shared" ca="1" si="24"/>
        <v>15066.234575542965</v>
      </c>
      <c r="G53" s="377">
        <f t="shared" ca="1" si="25"/>
        <v>57539.14951901017</v>
      </c>
      <c r="H53" s="382">
        <f t="shared" si="0"/>
        <v>1279.5162232398895</v>
      </c>
      <c r="I53" s="383">
        <f t="shared" si="1"/>
        <v>5521.4789426507368</v>
      </c>
      <c r="J53" s="383">
        <f t="shared" ca="1" si="2"/>
        <v>1599.395279049862</v>
      </c>
      <c r="K53" s="383">
        <f t="shared" ca="1" si="3"/>
        <v>0</v>
      </c>
      <c r="L53" s="383">
        <f t="shared" ca="1" si="26"/>
        <v>0</v>
      </c>
      <c r="M53" s="386">
        <f t="shared" si="4"/>
        <v>10369.5</v>
      </c>
      <c r="N53" s="386">
        <f t="shared" ca="1" si="27"/>
        <v>18769.890444940487</v>
      </c>
      <c r="O53" s="493"/>
      <c r="P53" s="361">
        <f t="shared" ca="1" si="47"/>
        <v>38769.259074069683</v>
      </c>
      <c r="Q53" s="370">
        <f ca="1">Tax!AL17</f>
        <v>0</v>
      </c>
      <c r="R53" s="570">
        <f t="shared" ca="1" si="28"/>
        <v>38769.259074069683</v>
      </c>
      <c r="S53" s="377">
        <f t="shared" si="5"/>
        <v>2123.6457471733606</v>
      </c>
      <c r="T53" s="378">
        <f t="shared" si="6"/>
        <v>4247.2914943467213</v>
      </c>
      <c r="U53" s="586">
        <f t="shared" ca="1" si="29"/>
        <v>547348.01550035516</v>
      </c>
      <c r="V53" s="379">
        <f t="shared" si="7"/>
        <v>4247.2914943467213</v>
      </c>
      <c r="W53" s="380">
        <f t="shared" si="30"/>
        <v>2281.4641507052725</v>
      </c>
      <c r="X53" s="380">
        <f t="shared" si="8"/>
        <v>3198.790558099724</v>
      </c>
      <c r="Y53" s="381">
        <f t="shared" si="9"/>
        <v>1599.395279049862</v>
      </c>
      <c r="Z53" s="382">
        <f t="shared" si="31"/>
        <v>1599.395279049862</v>
      </c>
      <c r="AA53" s="383">
        <f t="shared" si="10"/>
        <v>0</v>
      </c>
      <c r="AB53" s="384">
        <f t="shared" si="32"/>
        <v>80978.165389511225</v>
      </c>
      <c r="AC53" s="379">
        <f t="shared" ca="1" si="33"/>
        <v>9596.371674299171</v>
      </c>
      <c r="AD53" s="380">
        <f t="shared" ca="1" si="34"/>
        <v>3821.4637829815456</v>
      </c>
      <c r="AE53" s="380">
        <f t="shared" si="11"/>
        <v>0</v>
      </c>
      <c r="AF53" s="381">
        <f t="shared" si="12"/>
        <v>0</v>
      </c>
      <c r="AG53" s="382">
        <f t="shared" ca="1" si="35"/>
        <v>0</v>
      </c>
      <c r="AH53" s="383">
        <f t="shared" ca="1" si="13"/>
        <v>0</v>
      </c>
      <c r="AI53" s="384">
        <f t="shared" ca="1" si="36"/>
        <v>140799.96155666557</v>
      </c>
      <c r="AJ53" s="590">
        <f t="shared" ca="1" si="49"/>
        <v>38769.259074069683</v>
      </c>
      <c r="AK53" s="385">
        <f t="shared" ca="1" si="15"/>
        <v>0</v>
      </c>
      <c r="AL53" s="591">
        <f t="shared" ca="1" si="37"/>
        <v>395162.81963311799</v>
      </c>
      <c r="AM53" s="388">
        <f t="shared" si="16"/>
        <v>2123.6457471733606</v>
      </c>
      <c r="AN53" s="389">
        <f t="shared" si="38"/>
        <v>1912.6368402241003</v>
      </c>
      <c r="AO53" s="390">
        <f t="shared" si="39"/>
        <v>67790.843928200804</v>
      </c>
      <c r="AP53" s="389">
        <f t="shared" si="17"/>
        <v>4247.2914943467213</v>
      </c>
      <c r="AQ53" s="389">
        <f t="shared" si="40"/>
        <v>3825.2736804482006</v>
      </c>
      <c r="AR53" s="389">
        <f t="shared" si="41"/>
        <v>135581.68785640161</v>
      </c>
      <c r="AS53" s="384">
        <f t="shared" si="42"/>
        <v>80978.165389511225</v>
      </c>
      <c r="AT53" s="390">
        <f t="shared" si="18"/>
        <v>284350.69717411365</v>
      </c>
      <c r="AU53" s="373">
        <f t="shared" si="19"/>
        <v>0.44446595050448573</v>
      </c>
      <c r="AV53" s="387">
        <f t="shared" si="43"/>
        <v>345650</v>
      </c>
      <c r="AW53" s="387">
        <f t="shared" si="20"/>
        <v>43649.302825886349</v>
      </c>
      <c r="AX53" s="374">
        <f t="shared" si="44"/>
        <v>0</v>
      </c>
      <c r="AY53" s="184">
        <f t="shared" si="48"/>
        <v>31</v>
      </c>
      <c r="AZ53" s="146"/>
      <c r="BA53" s="146"/>
      <c r="BB53" s="146"/>
      <c r="BC53" s="146"/>
      <c r="BD53" s="146"/>
      <c r="BE53" s="146"/>
    </row>
    <row r="54" spans="1:57">
      <c r="A54" s="360">
        <f t="shared" si="45"/>
        <v>32</v>
      </c>
      <c r="B54" s="182">
        <f t="shared" si="21"/>
        <v>655752.06441044342</v>
      </c>
      <c r="C54" s="361">
        <f t="shared" si="22"/>
        <v>43662.156561884287</v>
      </c>
      <c r="D54" s="375">
        <f t="shared" si="23"/>
        <v>0</v>
      </c>
      <c r="E54" s="376">
        <f t="shared" si="46"/>
        <v>43662.156561884287</v>
      </c>
      <c r="F54" s="377">
        <f t="shared" ca="1" si="24"/>
        <v>16420.440465010655</v>
      </c>
      <c r="G54" s="377">
        <f t="shared" ca="1" si="25"/>
        <v>60082.597026894946</v>
      </c>
      <c r="H54" s="382">
        <f t="shared" si="0"/>
        <v>1311.5041288208868</v>
      </c>
      <c r="I54" s="383">
        <f t="shared" si="1"/>
        <v>5676.0803530449575</v>
      </c>
      <c r="J54" s="383">
        <f t="shared" ca="1" si="2"/>
        <v>1639.3801610261087</v>
      </c>
      <c r="K54" s="383">
        <f t="shared" ca="1" si="3"/>
        <v>0</v>
      </c>
      <c r="L54" s="383">
        <f t="shared" ca="1" si="26"/>
        <v>0</v>
      </c>
      <c r="M54" s="386">
        <f t="shared" si="4"/>
        <v>10369.5</v>
      </c>
      <c r="N54" s="386">
        <f t="shared" ca="1" si="27"/>
        <v>18996.464642891951</v>
      </c>
      <c r="O54" s="493"/>
      <c r="P54" s="361">
        <f t="shared" ca="1" si="47"/>
        <v>41086.132384002995</v>
      </c>
      <c r="Q54" s="370">
        <f ca="1">Tax!AM17</f>
        <v>-2683.6302778357699</v>
      </c>
      <c r="R54" s="570">
        <f t="shared" ca="1" si="28"/>
        <v>38402.502106167223</v>
      </c>
      <c r="S54" s="377">
        <f t="shared" si="5"/>
        <v>2183.1078280942143</v>
      </c>
      <c r="T54" s="378">
        <f t="shared" si="6"/>
        <v>4366.2156561884285</v>
      </c>
      <c r="U54" s="586">
        <f t="shared" ca="1" si="29"/>
        <v>592299.84109080501</v>
      </c>
      <c r="V54" s="379">
        <f t="shared" si="7"/>
        <v>4366.2156561884285</v>
      </c>
      <c r="W54" s="380">
        <f t="shared" si="30"/>
        <v>2429.3449616853368</v>
      </c>
      <c r="X54" s="380">
        <f t="shared" si="8"/>
        <v>3278.7603220522174</v>
      </c>
      <c r="Y54" s="381">
        <f t="shared" si="9"/>
        <v>1639.3801610261087</v>
      </c>
      <c r="Z54" s="382">
        <f t="shared" si="31"/>
        <v>1639.3801610261087</v>
      </c>
      <c r="AA54" s="383">
        <f t="shared" si="10"/>
        <v>0</v>
      </c>
      <c r="AB54" s="384">
        <f t="shared" si="32"/>
        <v>86134.345846358876</v>
      </c>
      <c r="AC54" s="379">
        <f t="shared" ca="1" si="33"/>
        <v>9836.2809661566516</v>
      </c>
      <c r="AD54" s="380">
        <f t="shared" ca="1" si="34"/>
        <v>4223.9988466999666</v>
      </c>
      <c r="AE54" s="380">
        <f t="shared" si="11"/>
        <v>0</v>
      </c>
      <c r="AF54" s="381">
        <f t="shared" si="12"/>
        <v>0</v>
      </c>
      <c r="AG54" s="382">
        <f t="shared" ca="1" si="35"/>
        <v>0</v>
      </c>
      <c r="AH54" s="383">
        <f t="shared" ca="1" si="13"/>
        <v>0</v>
      </c>
      <c r="AI54" s="384">
        <f t="shared" ca="1" si="36"/>
        <v>154860.24136952218</v>
      </c>
      <c r="AJ54" s="590">
        <f t="shared" ca="1" si="49"/>
        <v>38402.502106167223</v>
      </c>
      <c r="AK54" s="385">
        <f t="shared" ca="1" si="15"/>
        <v>0</v>
      </c>
      <c r="AL54" s="591">
        <f t="shared" ca="1" si="37"/>
        <v>433565.32173928519</v>
      </c>
      <c r="AM54" s="388">
        <f t="shared" si="16"/>
        <v>2183.1078280942143</v>
      </c>
      <c r="AN54" s="389">
        <f t="shared" si="38"/>
        <v>2033.7253178460242</v>
      </c>
      <c r="AO54" s="390">
        <f t="shared" si="39"/>
        <v>72007.677074141044</v>
      </c>
      <c r="AP54" s="389">
        <f t="shared" si="17"/>
        <v>4366.2156561884285</v>
      </c>
      <c r="AQ54" s="389">
        <f t="shared" si="40"/>
        <v>4067.4506356920483</v>
      </c>
      <c r="AR54" s="389">
        <f t="shared" si="41"/>
        <v>144015.35414828209</v>
      </c>
      <c r="AS54" s="384">
        <f t="shared" si="42"/>
        <v>86134.345846358876</v>
      </c>
      <c r="AT54" s="390">
        <f t="shared" si="18"/>
        <v>302157.37706878199</v>
      </c>
      <c r="AU54" s="373">
        <f t="shared" si="19"/>
        <v>0.46077990976732619</v>
      </c>
      <c r="AV54" s="387">
        <f t="shared" si="43"/>
        <v>345650</v>
      </c>
      <c r="AW54" s="387">
        <f t="shared" si="20"/>
        <v>25842.622931218008</v>
      </c>
      <c r="AX54" s="374">
        <f t="shared" si="44"/>
        <v>0</v>
      </c>
      <c r="AY54" s="184">
        <f t="shared" si="48"/>
        <v>32</v>
      </c>
      <c r="AZ54" s="146"/>
      <c r="BA54" s="146"/>
      <c r="BB54" s="146"/>
      <c r="BC54" s="146"/>
      <c r="BD54" s="146"/>
      <c r="BE54" s="146"/>
    </row>
    <row r="55" spans="1:57">
      <c r="A55" s="360">
        <f t="shared" si="45"/>
        <v>33</v>
      </c>
      <c r="B55" s="182">
        <f t="shared" si="21"/>
        <v>672145.86602070439</v>
      </c>
      <c r="C55" s="361">
        <f t="shared" si="22"/>
        <v>44884.696945617048</v>
      </c>
      <c r="D55" s="375">
        <f t="shared" si="23"/>
        <v>0</v>
      </c>
      <c r="E55" s="376">
        <f t="shared" si="46"/>
        <v>44884.696945617048</v>
      </c>
      <c r="F55" s="377">
        <f t="shared" ca="1" si="24"/>
        <v>17768.995232724148</v>
      </c>
      <c r="G55" s="377">
        <f t="shared" ca="1" si="25"/>
        <v>62653.692178341196</v>
      </c>
      <c r="H55" s="382">
        <f t="shared" si="0"/>
        <v>1344.2917320414087</v>
      </c>
      <c r="I55" s="383">
        <f t="shared" si="1"/>
        <v>5835.010602930216</v>
      </c>
      <c r="J55" s="383">
        <f t="shared" ca="1" si="2"/>
        <v>1680.364665051761</v>
      </c>
      <c r="K55" s="383">
        <f t="shared" ca="1" si="3"/>
        <v>0</v>
      </c>
      <c r="L55" s="383">
        <f t="shared" ca="1" si="26"/>
        <v>0</v>
      </c>
      <c r="M55" s="386">
        <f t="shared" si="4"/>
        <v>10369.5</v>
      </c>
      <c r="N55" s="386">
        <f t="shared" ca="1" si="27"/>
        <v>19229.167000023386</v>
      </c>
      <c r="O55" s="493"/>
      <c r="P55" s="361">
        <f t="shared" ca="1" si="47"/>
        <v>43424.52517831781</v>
      </c>
      <c r="Q55" s="370">
        <f ca="1">Tax!AN17</f>
        <v>-7680.6597838803837</v>
      </c>
      <c r="R55" s="570">
        <f t="shared" ca="1" si="28"/>
        <v>35743.865394437424</v>
      </c>
      <c r="S55" s="377">
        <f t="shared" si="5"/>
        <v>2244.2348472808526</v>
      </c>
      <c r="T55" s="378">
        <f t="shared" si="6"/>
        <v>4488.4696945617052</v>
      </c>
      <c r="U55" s="586">
        <f t="shared" ca="1" si="29"/>
        <v>634776.41102708504</v>
      </c>
      <c r="V55" s="379">
        <f t="shared" si="7"/>
        <v>4488.4696945617052</v>
      </c>
      <c r="W55" s="380">
        <f t="shared" si="30"/>
        <v>2584.030375390766</v>
      </c>
      <c r="X55" s="380">
        <f t="shared" si="8"/>
        <v>3360.729330103522</v>
      </c>
      <c r="Y55" s="381">
        <f t="shared" si="9"/>
        <v>1680.364665051761</v>
      </c>
      <c r="Z55" s="382">
        <f t="shared" si="31"/>
        <v>1680.364665051761</v>
      </c>
      <c r="AA55" s="383">
        <f t="shared" si="10"/>
        <v>0</v>
      </c>
      <c r="AB55" s="384">
        <f t="shared" si="32"/>
        <v>91526.481251259582</v>
      </c>
      <c r="AC55" s="379">
        <f t="shared" ca="1" si="33"/>
        <v>10082.187990310566</v>
      </c>
      <c r="AD55" s="380">
        <f t="shared" ca="1" si="34"/>
        <v>4645.8072410856648</v>
      </c>
      <c r="AE55" s="380">
        <f t="shared" si="11"/>
        <v>0</v>
      </c>
      <c r="AF55" s="381">
        <f t="shared" si="12"/>
        <v>0</v>
      </c>
      <c r="AG55" s="382">
        <f t="shared" ca="1" si="35"/>
        <v>0</v>
      </c>
      <c r="AH55" s="383">
        <f t="shared" ca="1" si="13"/>
        <v>0</v>
      </c>
      <c r="AI55" s="384">
        <f t="shared" ca="1" si="36"/>
        <v>169588.2366009184</v>
      </c>
      <c r="AJ55" s="590">
        <f t="shared" ca="1" si="49"/>
        <v>35743.865394437424</v>
      </c>
      <c r="AK55" s="385">
        <f t="shared" ca="1" si="15"/>
        <v>0</v>
      </c>
      <c r="AL55" s="591">
        <f t="shared" ca="1" si="37"/>
        <v>469309.18713372259</v>
      </c>
      <c r="AM55" s="388">
        <f t="shared" si="16"/>
        <v>2244.2348472808526</v>
      </c>
      <c r="AN55" s="389">
        <f t="shared" si="38"/>
        <v>2160.2303122242311</v>
      </c>
      <c r="AO55" s="390">
        <f t="shared" si="39"/>
        <v>76412.142233646126</v>
      </c>
      <c r="AP55" s="389">
        <f t="shared" si="17"/>
        <v>4488.4696945617052</v>
      </c>
      <c r="AQ55" s="389">
        <f t="shared" si="40"/>
        <v>4320.4606244484621</v>
      </c>
      <c r="AR55" s="389">
        <f t="shared" si="41"/>
        <v>152824.28446729225</v>
      </c>
      <c r="AS55" s="384">
        <f t="shared" si="42"/>
        <v>91526.481251259582</v>
      </c>
      <c r="AT55" s="390">
        <f t="shared" si="18"/>
        <v>320762.90795219794</v>
      </c>
      <c r="AU55" s="373">
        <f t="shared" si="19"/>
        <v>0.47722216882952212</v>
      </c>
      <c r="AV55" s="387">
        <f t="shared" si="43"/>
        <v>345650</v>
      </c>
      <c r="AW55" s="387">
        <f t="shared" si="20"/>
        <v>7237.0920478020562</v>
      </c>
      <c r="AX55" s="374">
        <f t="shared" si="44"/>
        <v>0</v>
      </c>
      <c r="AY55" s="184">
        <f t="shared" si="48"/>
        <v>33</v>
      </c>
      <c r="AZ55" s="146"/>
      <c r="BA55" s="146"/>
      <c r="BB55" s="146"/>
      <c r="BC55" s="146"/>
      <c r="BD55" s="146"/>
      <c r="BE55" s="146"/>
    </row>
    <row r="56" spans="1:57">
      <c r="A56" s="360">
        <f t="shared" si="45"/>
        <v>34</v>
      </c>
      <c r="B56" s="182">
        <f t="shared" si="21"/>
        <v>688949.51267122198</v>
      </c>
      <c r="C56" s="361">
        <f t="shared" si="22"/>
        <v>46141.468460094329</v>
      </c>
      <c r="D56" s="375">
        <f t="shared" si="23"/>
        <v>0</v>
      </c>
      <c r="E56" s="376">
        <f t="shared" si="46"/>
        <v>46141.468460094329</v>
      </c>
      <c r="F56" s="377">
        <f t="shared" ca="1" si="24"/>
        <v>19043.29233081255</v>
      </c>
      <c r="G56" s="377">
        <f t="shared" ca="1" si="25"/>
        <v>65184.760790906876</v>
      </c>
      <c r="H56" s="382">
        <f t="shared" si="0"/>
        <v>1377.899025342444</v>
      </c>
      <c r="I56" s="383">
        <f t="shared" si="1"/>
        <v>5998.3908998122633</v>
      </c>
      <c r="J56" s="383">
        <f t="shared" ca="1" si="2"/>
        <v>1722.3737816780549</v>
      </c>
      <c r="K56" s="383">
        <f t="shared" ca="1" si="3"/>
        <v>0</v>
      </c>
      <c r="L56" s="383">
        <f t="shared" ca="1" si="26"/>
        <v>0</v>
      </c>
      <c r="M56" s="386">
        <f t="shared" si="4"/>
        <v>10369.5</v>
      </c>
      <c r="N56" s="386">
        <f t="shared" ca="1" si="27"/>
        <v>19468.163706832762</v>
      </c>
      <c r="O56" s="493"/>
      <c r="P56" s="361">
        <f t="shared" ca="1" si="47"/>
        <v>45716.597084074114</v>
      </c>
      <c r="Q56" s="370">
        <f ca="1">Tax!AO17</f>
        <v>-8116.1534459740815</v>
      </c>
      <c r="R56" s="570">
        <f t="shared" ca="1" si="28"/>
        <v>37600.443638100034</v>
      </c>
      <c r="S56" s="377">
        <f t="shared" si="5"/>
        <v>2307.0734230047165</v>
      </c>
      <c r="T56" s="378">
        <f t="shared" si="6"/>
        <v>4614.1468460094329</v>
      </c>
      <c r="U56" s="586">
        <f t="shared" ca="1" si="29"/>
        <v>679298.0749341991</v>
      </c>
      <c r="V56" s="379">
        <f t="shared" si="7"/>
        <v>4614.1468460094329</v>
      </c>
      <c r="W56" s="380">
        <f t="shared" si="30"/>
        <v>2745.7944375377874</v>
      </c>
      <c r="X56" s="380">
        <f t="shared" si="8"/>
        <v>3444.7475633561098</v>
      </c>
      <c r="Y56" s="381">
        <f t="shared" si="9"/>
        <v>1722.3737816780549</v>
      </c>
      <c r="Z56" s="382">
        <f t="shared" si="31"/>
        <v>1722.3737816780549</v>
      </c>
      <c r="AA56" s="383">
        <f t="shared" si="10"/>
        <v>0</v>
      </c>
      <c r="AB56" s="384">
        <f t="shared" si="32"/>
        <v>97164.048753128751</v>
      </c>
      <c r="AC56" s="379">
        <f t="shared" ca="1" si="33"/>
        <v>10334.242690068329</v>
      </c>
      <c r="AD56" s="380">
        <f t="shared" ca="1" si="34"/>
        <v>5087.6470980275517</v>
      </c>
      <c r="AE56" s="380">
        <f t="shared" si="11"/>
        <v>0</v>
      </c>
      <c r="AF56" s="381">
        <f t="shared" si="12"/>
        <v>0</v>
      </c>
      <c r="AG56" s="382">
        <f t="shared" ca="1" si="35"/>
        <v>0</v>
      </c>
      <c r="AH56" s="383">
        <f t="shared" ca="1" si="13"/>
        <v>0</v>
      </c>
      <c r="AI56" s="384">
        <f t="shared" ca="1" si="36"/>
        <v>185010.12638901427</v>
      </c>
      <c r="AJ56" s="590">
        <f t="shared" ca="1" si="49"/>
        <v>37600.443638100034</v>
      </c>
      <c r="AK56" s="385">
        <f t="shared" ca="1" si="15"/>
        <v>0</v>
      </c>
      <c r="AL56" s="591">
        <f t="shared" ca="1" si="37"/>
        <v>506909.63077182265</v>
      </c>
      <c r="AM56" s="388">
        <f t="shared" si="16"/>
        <v>2307.0734230047165</v>
      </c>
      <c r="AN56" s="389">
        <f t="shared" si="38"/>
        <v>2292.3642670093836</v>
      </c>
      <c r="AO56" s="390">
        <f t="shared" si="39"/>
        <v>81011.579923660232</v>
      </c>
      <c r="AP56" s="389">
        <f t="shared" si="17"/>
        <v>4614.1468460094329</v>
      </c>
      <c r="AQ56" s="389">
        <f t="shared" si="40"/>
        <v>4584.7285340187673</v>
      </c>
      <c r="AR56" s="389">
        <f t="shared" si="41"/>
        <v>162023.15984732046</v>
      </c>
      <c r="AS56" s="384">
        <f t="shared" si="42"/>
        <v>97164.048753128751</v>
      </c>
      <c r="AT56" s="390">
        <f t="shared" si="18"/>
        <v>340198.78852410946</v>
      </c>
      <c r="AU56" s="373">
        <f t="shared" si="19"/>
        <v>0.49379349613744178</v>
      </c>
      <c r="AV56" s="387">
        <f t="shared" si="43"/>
        <v>345650</v>
      </c>
      <c r="AW56" s="387">
        <f t="shared" si="20"/>
        <v>-12198.788524109463</v>
      </c>
      <c r="AX56" s="374">
        <f t="shared" si="44"/>
        <v>0</v>
      </c>
      <c r="AY56" s="184">
        <f t="shared" si="48"/>
        <v>34</v>
      </c>
      <c r="AZ56" s="146"/>
      <c r="BA56" s="146"/>
      <c r="BB56" s="146"/>
      <c r="BC56" s="146"/>
      <c r="BD56" s="146"/>
      <c r="BE56" s="146"/>
    </row>
    <row r="57" spans="1:57">
      <c r="A57" s="360">
        <f t="shared" si="45"/>
        <v>35</v>
      </c>
      <c r="B57" s="182">
        <f t="shared" si="21"/>
        <v>706173.25048800244</v>
      </c>
      <c r="C57" s="361">
        <f t="shared" si="22"/>
        <v>47433.429576976974</v>
      </c>
      <c r="D57" s="375">
        <f t="shared" si="23"/>
        <v>0</v>
      </c>
      <c r="E57" s="376">
        <f t="shared" si="46"/>
        <v>47433.429576976974</v>
      </c>
      <c r="F57" s="377">
        <f t="shared" ca="1" si="24"/>
        <v>20378.942248025971</v>
      </c>
      <c r="G57" s="377">
        <f t="shared" ca="1" si="25"/>
        <v>67812.371825002949</v>
      </c>
      <c r="H57" s="382">
        <f t="shared" si="0"/>
        <v>1412.3465009760048</v>
      </c>
      <c r="I57" s="383">
        <f t="shared" si="1"/>
        <v>6166.3458450070066</v>
      </c>
      <c r="J57" s="383">
        <f t="shared" ca="1" si="2"/>
        <v>1765.4331262200062</v>
      </c>
      <c r="K57" s="383">
        <f t="shared" ca="1" si="3"/>
        <v>0</v>
      </c>
      <c r="L57" s="383">
        <f t="shared" ca="1" si="26"/>
        <v>0</v>
      </c>
      <c r="M57" s="386">
        <f t="shared" si="4"/>
        <v>10369.5</v>
      </c>
      <c r="N57" s="386">
        <f t="shared" ca="1" si="27"/>
        <v>19713.625472203017</v>
      </c>
      <c r="O57" s="493"/>
      <c r="P57" s="361">
        <f t="shared" ca="1" si="47"/>
        <v>48098.746352799935</v>
      </c>
      <c r="Q57" s="370">
        <f ca="1">Tax!AP17</f>
        <v>-8568.7618070319877</v>
      </c>
      <c r="R57" s="570">
        <f t="shared" ca="1" si="28"/>
        <v>39529.984545767948</v>
      </c>
      <c r="S57" s="377">
        <f t="shared" si="5"/>
        <v>2371.6714788488489</v>
      </c>
      <c r="T57" s="378">
        <f t="shared" si="6"/>
        <v>4743.3429576976978</v>
      </c>
      <c r="U57" s="586">
        <f t="shared" ca="1" si="29"/>
        <v>725943.07391651359</v>
      </c>
      <c r="V57" s="379">
        <f t="shared" si="7"/>
        <v>4743.3429576976978</v>
      </c>
      <c r="W57" s="380">
        <f t="shared" si="30"/>
        <v>2914.9214625938625</v>
      </c>
      <c r="X57" s="380">
        <f t="shared" si="8"/>
        <v>3530.8662524400124</v>
      </c>
      <c r="Y57" s="381">
        <f t="shared" si="9"/>
        <v>1765.4331262200062</v>
      </c>
      <c r="Z57" s="382">
        <f t="shared" si="31"/>
        <v>1765.4331262200062</v>
      </c>
      <c r="AA57" s="383">
        <f t="shared" si="10"/>
        <v>0</v>
      </c>
      <c r="AB57" s="384">
        <f t="shared" si="32"/>
        <v>103056.88004720031</v>
      </c>
      <c r="AC57" s="379">
        <f t="shared" ca="1" si="33"/>
        <v>10592.598757320036</v>
      </c>
      <c r="AD57" s="380">
        <f t="shared" ca="1" si="34"/>
        <v>5550.3037916704279</v>
      </c>
      <c r="AE57" s="380">
        <f t="shared" si="11"/>
        <v>0</v>
      </c>
      <c r="AF57" s="381">
        <f t="shared" si="12"/>
        <v>0</v>
      </c>
      <c r="AG57" s="382">
        <f t="shared" ca="1" si="35"/>
        <v>0</v>
      </c>
      <c r="AH57" s="383">
        <f t="shared" ca="1" si="13"/>
        <v>0</v>
      </c>
      <c r="AI57" s="384">
        <f t="shared" ca="1" si="36"/>
        <v>201153.02893800475</v>
      </c>
      <c r="AJ57" s="590">
        <f t="shared" ca="1" si="49"/>
        <v>39529.984545767948</v>
      </c>
      <c r="AK57" s="385">
        <f t="shared" ca="1" si="15"/>
        <v>0</v>
      </c>
      <c r="AL57" s="591">
        <f t="shared" ca="1" si="37"/>
        <v>546439.61531759053</v>
      </c>
      <c r="AM57" s="388">
        <f t="shared" si="16"/>
        <v>2371.6714788488489</v>
      </c>
      <c r="AN57" s="389">
        <f t="shared" si="38"/>
        <v>2430.347397709807</v>
      </c>
      <c r="AO57" s="390">
        <f t="shared" si="39"/>
        <v>85813.598800218882</v>
      </c>
      <c r="AP57" s="389">
        <f t="shared" si="17"/>
        <v>4743.3429576976978</v>
      </c>
      <c r="AQ57" s="389">
        <f t="shared" si="40"/>
        <v>4860.6947954196139</v>
      </c>
      <c r="AR57" s="389">
        <f t="shared" si="41"/>
        <v>171627.19760043776</v>
      </c>
      <c r="AS57" s="384">
        <f t="shared" si="42"/>
        <v>103056.88004720031</v>
      </c>
      <c r="AT57" s="390">
        <f t="shared" si="18"/>
        <v>360497.67644785694</v>
      </c>
      <c r="AU57" s="373">
        <f t="shared" si="19"/>
        <v>0.5104946643033198</v>
      </c>
      <c r="AV57" s="387">
        <f t="shared" si="43"/>
        <v>345650</v>
      </c>
      <c r="AW57" s="387">
        <f t="shared" si="20"/>
        <v>-32497.676447856938</v>
      </c>
      <c r="AX57" s="374">
        <f t="shared" si="44"/>
        <v>0</v>
      </c>
      <c r="AY57" s="184">
        <f t="shared" si="48"/>
        <v>35</v>
      </c>
      <c r="AZ57" s="146"/>
      <c r="BA57" s="146"/>
      <c r="BB57" s="146"/>
      <c r="BC57" s="146"/>
      <c r="BD57" s="146"/>
      <c r="BE57" s="146"/>
    </row>
    <row r="58" spans="1:57">
      <c r="A58" s="360">
        <f t="shared" si="45"/>
        <v>36</v>
      </c>
      <c r="B58" s="182">
        <f t="shared" si="21"/>
        <v>723827.58175020246</v>
      </c>
      <c r="C58" s="361">
        <f t="shared" si="22"/>
        <v>48761.565605132331</v>
      </c>
      <c r="D58" s="375">
        <f t="shared" si="23"/>
        <v>0</v>
      </c>
      <c r="E58" s="376">
        <f t="shared" si="46"/>
        <v>48761.565605132331</v>
      </c>
      <c r="F58" s="377">
        <f t="shared" ca="1" si="24"/>
        <v>21778.292217495407</v>
      </c>
      <c r="G58" s="377">
        <f t="shared" ca="1" si="25"/>
        <v>70539.857822627731</v>
      </c>
      <c r="H58" s="382">
        <f t="shared" si="0"/>
        <v>1447.655163500405</v>
      </c>
      <c r="I58" s="383">
        <f t="shared" si="1"/>
        <v>6339.0035286672037</v>
      </c>
      <c r="J58" s="383">
        <f t="shared" ca="1" si="2"/>
        <v>1809.5689543755061</v>
      </c>
      <c r="K58" s="383">
        <f t="shared" ca="1" si="3"/>
        <v>0</v>
      </c>
      <c r="L58" s="383">
        <f t="shared" ca="1" si="26"/>
        <v>0</v>
      </c>
      <c r="M58" s="386">
        <f t="shared" si="4"/>
        <v>10369.5</v>
      </c>
      <c r="N58" s="386">
        <f t="shared" ca="1" si="27"/>
        <v>19965.727646543113</v>
      </c>
      <c r="O58" s="493"/>
      <c r="P58" s="361">
        <f t="shared" ca="1" si="47"/>
        <v>50574.130176084618</v>
      </c>
      <c r="Q58" s="370">
        <f ca="1">Tax!AQ17</f>
        <v>-9039.0847334560767</v>
      </c>
      <c r="R58" s="570">
        <f t="shared" ca="1" si="28"/>
        <v>41535.045442628543</v>
      </c>
      <c r="S58" s="377">
        <f t="shared" si="5"/>
        <v>2438.0782802566168</v>
      </c>
      <c r="T58" s="378">
        <f t="shared" si="6"/>
        <v>4876.1565605132337</v>
      </c>
      <c r="U58" s="586">
        <f t="shared" ca="1" si="29"/>
        <v>774792.35419991205</v>
      </c>
      <c r="V58" s="379">
        <f t="shared" si="7"/>
        <v>4876.1565605132337</v>
      </c>
      <c r="W58" s="380">
        <f t="shared" si="30"/>
        <v>3091.7064014160092</v>
      </c>
      <c r="X58" s="380">
        <f t="shared" si="8"/>
        <v>3619.1379087510122</v>
      </c>
      <c r="Y58" s="381">
        <f t="shared" si="9"/>
        <v>1809.5689543755061</v>
      </c>
      <c r="Z58" s="382">
        <f t="shared" si="31"/>
        <v>1809.5689543755061</v>
      </c>
      <c r="AA58" s="383">
        <f t="shared" si="10"/>
        <v>0</v>
      </c>
      <c r="AB58" s="384">
        <f t="shared" si="32"/>
        <v>109215.17405475404</v>
      </c>
      <c r="AC58" s="379">
        <f t="shared" ca="1" si="33"/>
        <v>10857.413726253037</v>
      </c>
      <c r="AD58" s="380">
        <f t="shared" ca="1" si="34"/>
        <v>6034.5908681401424</v>
      </c>
      <c r="AE58" s="380">
        <f t="shared" si="11"/>
        <v>0</v>
      </c>
      <c r="AF58" s="381">
        <f t="shared" si="12"/>
        <v>0</v>
      </c>
      <c r="AG58" s="382">
        <f t="shared" ca="1" si="35"/>
        <v>0</v>
      </c>
      <c r="AH58" s="383">
        <f t="shared" ca="1" si="13"/>
        <v>0</v>
      </c>
      <c r="AI58" s="384">
        <f t="shared" ca="1" si="36"/>
        <v>218045.03353239794</v>
      </c>
      <c r="AJ58" s="590">
        <f t="shared" ca="1" si="49"/>
        <v>41535.045442628543</v>
      </c>
      <c r="AK58" s="385">
        <f t="shared" ca="1" si="15"/>
        <v>0</v>
      </c>
      <c r="AL58" s="591">
        <f t="shared" ca="1" si="37"/>
        <v>587974.66076021909</v>
      </c>
      <c r="AM58" s="388">
        <f t="shared" si="16"/>
        <v>2438.0782802566168</v>
      </c>
      <c r="AN58" s="389">
        <f t="shared" si="38"/>
        <v>2574.4079640065665</v>
      </c>
      <c r="AO58" s="390">
        <f t="shared" si="39"/>
        <v>90826.085044482068</v>
      </c>
      <c r="AP58" s="389">
        <f t="shared" si="17"/>
        <v>4876.1565605132337</v>
      </c>
      <c r="AQ58" s="389">
        <f t="shared" si="40"/>
        <v>5148.8159280131331</v>
      </c>
      <c r="AR58" s="389">
        <f t="shared" si="41"/>
        <v>181652.17008896414</v>
      </c>
      <c r="AS58" s="384">
        <f t="shared" si="42"/>
        <v>109215.17405475404</v>
      </c>
      <c r="AT58" s="390">
        <f t="shared" si="18"/>
        <v>381693.42918820021</v>
      </c>
      <c r="AU58" s="373">
        <f t="shared" si="19"/>
        <v>0.5273264501267998</v>
      </c>
      <c r="AV58" s="387">
        <f t="shared" si="43"/>
        <v>345650</v>
      </c>
      <c r="AW58" s="387">
        <f t="shared" si="20"/>
        <v>-53693.429188200214</v>
      </c>
      <c r="AX58" s="374">
        <f t="shared" si="44"/>
        <v>0</v>
      </c>
      <c r="AY58" s="184">
        <f t="shared" si="48"/>
        <v>36</v>
      </c>
      <c r="AZ58" s="146"/>
      <c r="BA58" s="146"/>
      <c r="BB58" s="146"/>
      <c r="BC58" s="146"/>
      <c r="BD58" s="146"/>
      <c r="BE58" s="146"/>
    </row>
    <row r="59" spans="1:57">
      <c r="A59" s="360">
        <f t="shared" si="45"/>
        <v>37</v>
      </c>
      <c r="B59" s="182">
        <f t="shared" si="21"/>
        <v>741923.27129395748</v>
      </c>
      <c r="C59" s="361">
        <f t="shared" si="22"/>
        <v>50126.889442076041</v>
      </c>
      <c r="D59" s="375">
        <f t="shared" si="23"/>
        <v>0</v>
      </c>
      <c r="E59" s="376">
        <f t="shared" si="46"/>
        <v>50126.889442076041</v>
      </c>
      <c r="F59" s="377">
        <f t="shared" ca="1" si="24"/>
        <v>23243.77062599736</v>
      </c>
      <c r="G59" s="377">
        <f t="shared" ca="1" si="25"/>
        <v>73370.660068073397</v>
      </c>
      <c r="H59" s="382">
        <f t="shared" si="0"/>
        <v>1483.8465425879151</v>
      </c>
      <c r="I59" s="383">
        <f t="shared" si="1"/>
        <v>6516.4956274698852</v>
      </c>
      <c r="J59" s="383">
        <f t="shared" ca="1" si="2"/>
        <v>1854.8081782348938</v>
      </c>
      <c r="K59" s="383">
        <f t="shared" ca="1" si="3"/>
        <v>0</v>
      </c>
      <c r="L59" s="383">
        <f t="shared" ca="1" si="26"/>
        <v>0</v>
      </c>
      <c r="M59" s="386">
        <f t="shared" si="4"/>
        <v>10369.5</v>
      </c>
      <c r="N59" s="386">
        <f t="shared" ca="1" si="27"/>
        <v>20224.650348292693</v>
      </c>
      <c r="O59" s="493"/>
      <c r="P59" s="361">
        <f t="shared" ca="1" si="47"/>
        <v>53146.009719780704</v>
      </c>
      <c r="Q59" s="370">
        <f ca="1">Tax!AR17</f>
        <v>-9527.7418467583338</v>
      </c>
      <c r="R59" s="570">
        <f t="shared" ca="1" si="28"/>
        <v>43618.267873022371</v>
      </c>
      <c r="S59" s="377">
        <f t="shared" si="5"/>
        <v>2506.3444721038022</v>
      </c>
      <c r="T59" s="378">
        <f t="shared" si="6"/>
        <v>5012.6889442076044</v>
      </c>
      <c r="U59" s="586">
        <f t="shared" ca="1" si="29"/>
        <v>825929.6554892459</v>
      </c>
      <c r="V59" s="379">
        <f t="shared" si="7"/>
        <v>5012.6889442076044</v>
      </c>
      <c r="W59" s="380">
        <f t="shared" si="30"/>
        <v>3276.4552216426209</v>
      </c>
      <c r="X59" s="380">
        <f t="shared" si="8"/>
        <v>3709.6163564697877</v>
      </c>
      <c r="Y59" s="381">
        <f t="shared" si="9"/>
        <v>1854.8081782348938</v>
      </c>
      <c r="Z59" s="382">
        <f t="shared" si="31"/>
        <v>1854.8081782348938</v>
      </c>
      <c r="AA59" s="383">
        <f t="shared" si="10"/>
        <v>0</v>
      </c>
      <c r="AB59" s="384">
        <f t="shared" si="32"/>
        <v>115649.51004236937</v>
      </c>
      <c r="AC59" s="379">
        <f t="shared" ca="1" si="33"/>
        <v>11128.849069409362</v>
      </c>
      <c r="AD59" s="380">
        <f t="shared" ca="1" si="34"/>
        <v>6541.3510059719383</v>
      </c>
      <c r="AE59" s="380">
        <f t="shared" si="11"/>
        <v>0</v>
      </c>
      <c r="AF59" s="381">
        <f t="shared" si="12"/>
        <v>0</v>
      </c>
      <c r="AG59" s="382">
        <f t="shared" ca="1" si="35"/>
        <v>0</v>
      </c>
      <c r="AH59" s="383">
        <f t="shared" ca="1" si="13"/>
        <v>0</v>
      </c>
      <c r="AI59" s="384">
        <f t="shared" ca="1" si="36"/>
        <v>235715.23360777923</v>
      </c>
      <c r="AJ59" s="590">
        <f t="shared" ca="1" si="49"/>
        <v>43618.267873022371</v>
      </c>
      <c r="AK59" s="385">
        <f t="shared" ca="1" si="15"/>
        <v>0</v>
      </c>
      <c r="AL59" s="591">
        <f t="shared" ca="1" si="37"/>
        <v>631592.92863324145</v>
      </c>
      <c r="AM59" s="388">
        <f t="shared" si="16"/>
        <v>2506.3444721038022</v>
      </c>
      <c r="AN59" s="389">
        <f t="shared" si="38"/>
        <v>2724.7825513344619</v>
      </c>
      <c r="AO59" s="390">
        <f t="shared" si="39"/>
        <v>96057.212067920336</v>
      </c>
      <c r="AP59" s="389">
        <f t="shared" si="17"/>
        <v>5012.6889442076044</v>
      </c>
      <c r="AQ59" s="389">
        <f t="shared" si="40"/>
        <v>5449.5651026689238</v>
      </c>
      <c r="AR59" s="389">
        <f t="shared" si="41"/>
        <v>192114.42413584067</v>
      </c>
      <c r="AS59" s="384">
        <f t="shared" si="42"/>
        <v>115649.51004236937</v>
      </c>
      <c r="AT59" s="390">
        <f t="shared" si="18"/>
        <v>403821.14624613035</v>
      </c>
      <c r="AU59" s="373">
        <f t="shared" si="19"/>
        <v>0.54428963461658597</v>
      </c>
      <c r="AV59" s="387">
        <f t="shared" si="43"/>
        <v>345650</v>
      </c>
      <c r="AW59" s="387">
        <f t="shared" si="20"/>
        <v>-75821.146246130345</v>
      </c>
      <c r="AX59" s="374">
        <f t="shared" si="44"/>
        <v>0</v>
      </c>
      <c r="AY59" s="184">
        <f t="shared" si="48"/>
        <v>37</v>
      </c>
      <c r="AZ59" s="146"/>
      <c r="BA59" s="146"/>
      <c r="BB59" s="146"/>
      <c r="BC59" s="146"/>
      <c r="BD59" s="146"/>
      <c r="BE59" s="146"/>
    </row>
    <row r="60" spans="1:57">
      <c r="A60" s="360">
        <f t="shared" si="45"/>
        <v>38</v>
      </c>
      <c r="B60" s="182">
        <f t="shared" si="21"/>
        <v>760471.3530763064</v>
      </c>
      <c r="C60" s="361">
        <f t="shared" si="22"/>
        <v>51530.442346454169</v>
      </c>
      <c r="D60" s="375">
        <f t="shared" si="23"/>
        <v>0</v>
      </c>
      <c r="E60" s="376">
        <f t="shared" si="46"/>
        <v>51530.442346454169</v>
      </c>
      <c r="F60" s="377">
        <f t="shared" ca="1" si="24"/>
        <v>24777.889664677376</v>
      </c>
      <c r="G60" s="377">
        <f t="shared" ca="1" si="25"/>
        <v>76308.332011131541</v>
      </c>
      <c r="H60" s="382">
        <f t="shared" si="0"/>
        <v>1520.9427061526128</v>
      </c>
      <c r="I60" s="383">
        <f t="shared" si="1"/>
        <v>6698.9575050390422</v>
      </c>
      <c r="J60" s="383">
        <f t="shared" ca="1" si="2"/>
        <v>1901.1783826907661</v>
      </c>
      <c r="K60" s="383">
        <f t="shared" ca="1" si="3"/>
        <v>0</v>
      </c>
      <c r="L60" s="383">
        <f t="shared" ca="1" si="26"/>
        <v>0</v>
      </c>
      <c r="M60" s="386">
        <f t="shared" si="4"/>
        <v>10369.5</v>
      </c>
      <c r="N60" s="386">
        <f t="shared" ca="1" si="27"/>
        <v>20490.578593882419</v>
      </c>
      <c r="O60" s="493"/>
      <c r="P60" s="361">
        <f t="shared" ca="1" si="47"/>
        <v>55817.753417249121</v>
      </c>
      <c r="Q60" s="370">
        <f ca="1">Tax!AS17</f>
        <v>-10035.373149277333</v>
      </c>
      <c r="R60" s="570">
        <f t="shared" ca="1" si="28"/>
        <v>45782.380267971792</v>
      </c>
      <c r="S60" s="377">
        <f t="shared" si="5"/>
        <v>2576.5221173227087</v>
      </c>
      <c r="T60" s="378">
        <f t="shared" si="6"/>
        <v>5153.0442346454174</v>
      </c>
      <c r="U60" s="586">
        <f t="shared" ca="1" si="29"/>
        <v>879441.60210918589</v>
      </c>
      <c r="V60" s="379">
        <f t="shared" si="7"/>
        <v>5153.0442346454174</v>
      </c>
      <c r="W60" s="380">
        <f t="shared" si="30"/>
        <v>3469.485301271081</v>
      </c>
      <c r="X60" s="380">
        <f t="shared" si="8"/>
        <v>3802.3567653815321</v>
      </c>
      <c r="Y60" s="381">
        <f t="shared" si="9"/>
        <v>1901.1783826907661</v>
      </c>
      <c r="Z60" s="382">
        <f t="shared" si="31"/>
        <v>1901.1783826907661</v>
      </c>
      <c r="AA60" s="383">
        <f t="shared" si="10"/>
        <v>0</v>
      </c>
      <c r="AB60" s="384">
        <f t="shared" si="32"/>
        <v>122370.86119559511</v>
      </c>
      <c r="AC60" s="379">
        <f t="shared" ca="1" si="33"/>
        <v>11407.070296144595</v>
      </c>
      <c r="AD60" s="380">
        <f t="shared" ca="1" si="34"/>
        <v>7071.4570082333767</v>
      </c>
      <c r="AE60" s="380">
        <f t="shared" si="11"/>
        <v>0</v>
      </c>
      <c r="AF60" s="381">
        <f t="shared" si="12"/>
        <v>0</v>
      </c>
      <c r="AG60" s="382">
        <f t="shared" ca="1" si="35"/>
        <v>0</v>
      </c>
      <c r="AH60" s="383">
        <f t="shared" ca="1" si="13"/>
        <v>0</v>
      </c>
      <c r="AI60" s="384">
        <f t="shared" ca="1" si="36"/>
        <v>254193.76091215719</v>
      </c>
      <c r="AJ60" s="590">
        <f t="shared" ca="1" si="49"/>
        <v>45782.380267971792</v>
      </c>
      <c r="AK60" s="385">
        <f t="shared" ca="1" si="15"/>
        <v>0</v>
      </c>
      <c r="AL60" s="591">
        <f t="shared" ca="1" si="37"/>
        <v>677375.30890121323</v>
      </c>
      <c r="AM60" s="388">
        <f t="shared" si="16"/>
        <v>2576.5221173227087</v>
      </c>
      <c r="AN60" s="389">
        <f t="shared" si="38"/>
        <v>2881.71636203761</v>
      </c>
      <c r="AO60" s="390">
        <f t="shared" si="39"/>
        <v>101515.45054728065</v>
      </c>
      <c r="AP60" s="389">
        <f t="shared" si="17"/>
        <v>5153.0442346454174</v>
      </c>
      <c r="AQ60" s="389">
        <f t="shared" si="40"/>
        <v>5763.43272407522</v>
      </c>
      <c r="AR60" s="389">
        <f t="shared" si="41"/>
        <v>203030.9010945613</v>
      </c>
      <c r="AS60" s="384">
        <f t="shared" si="42"/>
        <v>122370.86119559511</v>
      </c>
      <c r="AT60" s="390">
        <f t="shared" si="18"/>
        <v>426917.21283743705</v>
      </c>
      <c r="AU60" s="373">
        <f t="shared" si="19"/>
        <v>0.56138500301220395</v>
      </c>
      <c r="AV60" s="387">
        <f t="shared" si="43"/>
        <v>345650</v>
      </c>
      <c r="AW60" s="387">
        <f t="shared" si="20"/>
        <v>-98917.212837437051</v>
      </c>
      <c r="AX60" s="374">
        <f t="shared" si="44"/>
        <v>0</v>
      </c>
      <c r="AY60" s="184">
        <f t="shared" si="48"/>
        <v>38</v>
      </c>
      <c r="AZ60" s="146"/>
      <c r="BA60" s="146"/>
      <c r="BB60" s="146"/>
      <c r="BC60" s="146"/>
      <c r="BD60" s="146"/>
      <c r="BE60" s="146"/>
    </row>
    <row r="61" spans="1:57">
      <c r="A61" s="360">
        <f t="shared" si="45"/>
        <v>39</v>
      </c>
      <c r="B61" s="182">
        <f t="shared" si="21"/>
        <v>779483.13690321404</v>
      </c>
      <c r="C61" s="361">
        <f t="shared" si="22"/>
        <v>52973.294732154885</v>
      </c>
      <c r="D61" s="375">
        <f t="shared" si="23"/>
        <v>0</v>
      </c>
      <c r="E61" s="376">
        <f t="shared" si="46"/>
        <v>52973.294732154885</v>
      </c>
      <c r="F61" s="377">
        <f t="shared" ca="1" si="24"/>
        <v>26383.248063275576</v>
      </c>
      <c r="G61" s="377">
        <f t="shared" ca="1" si="25"/>
        <v>79356.542795430461</v>
      </c>
      <c r="H61" s="382">
        <f t="shared" si="0"/>
        <v>1558.966273806428</v>
      </c>
      <c r="I61" s="383">
        <f t="shared" si="1"/>
        <v>6886.528315180135</v>
      </c>
      <c r="J61" s="383">
        <f t="shared" ca="1" si="2"/>
        <v>1948.707842258035</v>
      </c>
      <c r="K61" s="383">
        <f t="shared" ca="1" si="3"/>
        <v>0</v>
      </c>
      <c r="L61" s="383">
        <f t="shared" ca="1" si="26"/>
        <v>0</v>
      </c>
      <c r="M61" s="386">
        <f t="shared" si="4"/>
        <v>10369.5</v>
      </c>
      <c r="N61" s="386">
        <f t="shared" ca="1" si="27"/>
        <v>20763.702431244597</v>
      </c>
      <c r="O61" s="493"/>
      <c r="P61" s="361">
        <f t="shared" ca="1" si="47"/>
        <v>58592.84036418586</v>
      </c>
      <c r="Q61" s="370">
        <f ca="1">Tax!AT17</f>
        <v>-10562.639669195314</v>
      </c>
      <c r="R61" s="570">
        <f t="shared" ca="1" si="28"/>
        <v>48030.200694990548</v>
      </c>
      <c r="S61" s="377">
        <f t="shared" si="5"/>
        <v>2648.6647366077445</v>
      </c>
      <c r="T61" s="378">
        <f t="shared" si="6"/>
        <v>5297.3294732154891</v>
      </c>
      <c r="U61" s="586">
        <f t="shared" ca="1" si="29"/>
        <v>935417.79701399966</v>
      </c>
      <c r="V61" s="379">
        <f t="shared" si="7"/>
        <v>5297.3294732154891</v>
      </c>
      <c r="W61" s="380">
        <f t="shared" si="30"/>
        <v>3671.1258358678529</v>
      </c>
      <c r="X61" s="380">
        <f t="shared" si="8"/>
        <v>3897.4156845160701</v>
      </c>
      <c r="Y61" s="381">
        <f t="shared" si="9"/>
        <v>1948.707842258035</v>
      </c>
      <c r="Z61" s="382">
        <f t="shared" si="31"/>
        <v>1948.707842258035</v>
      </c>
      <c r="AA61" s="383">
        <f t="shared" si="10"/>
        <v>0</v>
      </c>
      <c r="AB61" s="384">
        <f t="shared" si="32"/>
        <v>129390.60866242042</v>
      </c>
      <c r="AC61" s="379">
        <f t="shared" ca="1" si="33"/>
        <v>11692.24705354821</v>
      </c>
      <c r="AD61" s="380">
        <f t="shared" ca="1" si="34"/>
        <v>7625.8128273647153</v>
      </c>
      <c r="AE61" s="380">
        <f t="shared" si="11"/>
        <v>0</v>
      </c>
      <c r="AF61" s="381">
        <f t="shared" si="12"/>
        <v>0</v>
      </c>
      <c r="AG61" s="382">
        <f t="shared" ca="1" si="35"/>
        <v>0</v>
      </c>
      <c r="AH61" s="383">
        <f t="shared" ca="1" si="13"/>
        <v>0</v>
      </c>
      <c r="AI61" s="384">
        <f t="shared" ca="1" si="36"/>
        <v>273511.82079307013</v>
      </c>
      <c r="AJ61" s="590">
        <f t="shared" ca="1" si="49"/>
        <v>48030.200694990548</v>
      </c>
      <c r="AK61" s="385">
        <f t="shared" ca="1" si="15"/>
        <v>0</v>
      </c>
      <c r="AL61" s="591">
        <f t="shared" ca="1" si="37"/>
        <v>725405.5095962038</v>
      </c>
      <c r="AM61" s="388">
        <f t="shared" si="16"/>
        <v>2648.6647366077445</v>
      </c>
      <c r="AN61" s="389">
        <f t="shared" si="38"/>
        <v>3045.4635164184192</v>
      </c>
      <c r="AO61" s="390">
        <f t="shared" si="39"/>
        <v>107209.57880030682</v>
      </c>
      <c r="AP61" s="389">
        <f t="shared" si="17"/>
        <v>5297.3294732154891</v>
      </c>
      <c r="AQ61" s="389">
        <f t="shared" si="40"/>
        <v>6090.9270328368384</v>
      </c>
      <c r="AR61" s="389">
        <f t="shared" si="41"/>
        <v>214419.15760061363</v>
      </c>
      <c r="AS61" s="384">
        <f t="shared" si="42"/>
        <v>129390.60866242042</v>
      </c>
      <c r="AT61" s="390">
        <f t="shared" si="18"/>
        <v>451019.34506334085</v>
      </c>
      <c r="AU61" s="373">
        <f t="shared" si="19"/>
        <v>0.57861334480587034</v>
      </c>
      <c r="AV61" s="387">
        <f t="shared" si="43"/>
        <v>345650</v>
      </c>
      <c r="AW61" s="387">
        <f t="shared" si="20"/>
        <v>-123019.34506334085</v>
      </c>
      <c r="AX61" s="374">
        <f t="shared" si="44"/>
        <v>0</v>
      </c>
      <c r="AY61" s="184">
        <f t="shared" si="48"/>
        <v>39</v>
      </c>
      <c r="AZ61" s="146"/>
      <c r="BA61" s="146"/>
      <c r="BB61" s="146"/>
      <c r="BC61" s="146"/>
      <c r="BD61" s="146"/>
      <c r="BE61" s="146"/>
    </row>
    <row r="62" spans="1:57" ht="13.5" thickBot="1">
      <c r="A62" s="391">
        <f t="shared" si="45"/>
        <v>40</v>
      </c>
      <c r="B62" s="392">
        <f t="shared" si="21"/>
        <v>798970.2153257943</v>
      </c>
      <c r="C62" s="393">
        <f t="shared" si="22"/>
        <v>54456.546984655222</v>
      </c>
      <c r="D62" s="394">
        <f t="shared" si="23"/>
        <v>0</v>
      </c>
      <c r="E62" s="395">
        <f t="shared" si="46"/>
        <v>54456.546984655222</v>
      </c>
      <c r="F62" s="396">
        <f t="shared" ca="1" si="24"/>
        <v>28062.533910419988</v>
      </c>
      <c r="G62" s="396">
        <f t="shared" ca="1" si="25"/>
        <v>82519.080895075211</v>
      </c>
      <c r="H62" s="401">
        <f t="shared" si="0"/>
        <v>1597.9404306515887</v>
      </c>
      <c r="I62" s="402">
        <f t="shared" si="1"/>
        <v>7079.3511080051794</v>
      </c>
      <c r="J62" s="402">
        <f t="shared" ca="1" si="2"/>
        <v>61920.191687749051</v>
      </c>
      <c r="K62" s="402">
        <f t="shared" ca="1" si="3"/>
        <v>0</v>
      </c>
      <c r="L62" s="402">
        <f t="shared" ca="1" si="26"/>
        <v>0</v>
      </c>
      <c r="M62" s="405">
        <f t="shared" si="4"/>
        <v>10369.5</v>
      </c>
      <c r="N62" s="405">
        <f t="shared" ca="1" si="27"/>
        <v>80966.98322640582</v>
      </c>
      <c r="O62" s="494"/>
      <c r="P62" s="393">
        <f t="shared" ca="1" si="47"/>
        <v>1552.0976686693903</v>
      </c>
      <c r="Q62" s="406">
        <f ca="1">Tax!AU17</f>
        <v>0</v>
      </c>
      <c r="R62" s="571">
        <f t="shared" ca="1" si="28"/>
        <v>1552.0976686693903</v>
      </c>
      <c r="S62" s="396">
        <f t="shared" si="5"/>
        <v>2722.8273492327612</v>
      </c>
      <c r="T62" s="397">
        <f t="shared" si="6"/>
        <v>5445.6546984655224</v>
      </c>
      <c r="U62" s="587">
        <f t="shared" ca="1" si="29"/>
        <v>945138.37673036731</v>
      </c>
      <c r="V62" s="398">
        <f t="shared" si="7"/>
        <v>5445.6546984655224</v>
      </c>
      <c r="W62" s="399">
        <f t="shared" si="30"/>
        <v>3881.7182598726122</v>
      </c>
      <c r="X62" s="399">
        <f t="shared" si="8"/>
        <v>3994.8510766289714</v>
      </c>
      <c r="Y62" s="400">
        <f t="shared" si="9"/>
        <v>1997.4255383144857</v>
      </c>
      <c r="Z62" s="401">
        <f t="shared" si="31"/>
        <v>1997.4255383144857</v>
      </c>
      <c r="AA62" s="402">
        <f t="shared" si="10"/>
        <v>0</v>
      </c>
      <c r="AB62" s="403">
        <f t="shared" si="32"/>
        <v>136720.55608244406</v>
      </c>
      <c r="AC62" s="398">
        <f t="shared" ca="1" si="33"/>
        <v>11984.553229886915</v>
      </c>
      <c r="AD62" s="399">
        <f t="shared" ca="1" si="34"/>
        <v>8205.3546237921037</v>
      </c>
      <c r="AE62" s="399">
        <f t="shared" si="11"/>
        <v>119845.53229886913</v>
      </c>
      <c r="AF62" s="400">
        <f t="shared" si="12"/>
        <v>59922.766149434567</v>
      </c>
      <c r="AG62" s="401">
        <f t="shared" ca="1" si="35"/>
        <v>59922.766149434567</v>
      </c>
      <c r="AH62" s="402">
        <f t="shared" ca="1" si="13"/>
        <v>0</v>
      </c>
      <c r="AI62" s="403">
        <f t="shared" ca="1" si="36"/>
        <v>233778.96249731458</v>
      </c>
      <c r="AJ62" s="592">
        <f t="shared" ca="1" si="49"/>
        <v>1552.0976686693903</v>
      </c>
      <c r="AK62" s="404">
        <f t="shared" ca="1" si="15"/>
        <v>0</v>
      </c>
      <c r="AL62" s="593">
        <f t="shared" ca="1" si="37"/>
        <v>726957.60726487322</v>
      </c>
      <c r="AM62" s="408">
        <f t="shared" si="16"/>
        <v>2722.8273492327612</v>
      </c>
      <c r="AN62" s="409">
        <f t="shared" si="38"/>
        <v>3216.2873640092043</v>
      </c>
      <c r="AO62" s="410">
        <f t="shared" si="39"/>
        <v>113148.69351354879</v>
      </c>
      <c r="AP62" s="409">
        <f t="shared" si="17"/>
        <v>5445.6546984655224</v>
      </c>
      <c r="AQ62" s="409">
        <f t="shared" si="40"/>
        <v>6432.5747280184087</v>
      </c>
      <c r="AR62" s="409">
        <f t="shared" si="41"/>
        <v>226297.38702709757</v>
      </c>
      <c r="AS62" s="403">
        <f t="shared" ca="1" si="42"/>
        <v>370499.51857975865</v>
      </c>
      <c r="AT62" s="410">
        <f t="shared" ca="1" si="18"/>
        <v>709945.59912040504</v>
      </c>
      <c r="AU62" s="411">
        <f t="shared" ca="1" si="19"/>
        <v>0.88857580107778122</v>
      </c>
      <c r="AV62" s="407">
        <f t="shared" si="43"/>
        <v>345650</v>
      </c>
      <c r="AW62" s="407">
        <f t="shared" ca="1" si="20"/>
        <v>-381945.59912040504</v>
      </c>
      <c r="AX62" s="412">
        <f t="shared" si="44"/>
        <v>0</v>
      </c>
      <c r="AY62" s="184">
        <f>AY61+1</f>
        <v>40</v>
      </c>
      <c r="AZ62" s="146"/>
      <c r="BA62" s="146"/>
      <c r="BB62" s="146"/>
      <c r="BC62" s="146"/>
      <c r="BD62" s="146"/>
      <c r="BE62" s="146"/>
    </row>
    <row r="63" spans="1:57" ht="13.5" thickBot="1">
      <c r="A63" s="345">
        <v>41</v>
      </c>
      <c r="B63" s="413">
        <f>B62*(1+$I$6)</f>
        <v>818944.47070893913</v>
      </c>
      <c r="C63" s="146"/>
      <c r="D63" s="182"/>
      <c r="E63" s="182"/>
      <c r="F63" s="182"/>
      <c r="G63" s="146"/>
      <c r="H63" s="182"/>
      <c r="I63" s="182"/>
      <c r="J63" s="182"/>
      <c r="K63" s="182"/>
      <c r="L63" s="182"/>
      <c r="M63" s="182"/>
      <c r="N63" s="182"/>
      <c r="O63" s="146"/>
      <c r="P63" s="182"/>
      <c r="Q63" s="146"/>
      <c r="R63" s="146"/>
      <c r="S63" s="146"/>
      <c r="T63" s="184"/>
      <c r="U63" s="146"/>
      <c r="V63" s="146"/>
      <c r="W63" s="146"/>
      <c r="X63" s="146"/>
      <c r="Y63" s="146"/>
      <c r="Z63" s="146"/>
      <c r="AA63" s="146"/>
      <c r="AB63" s="146"/>
      <c r="AC63" s="146"/>
      <c r="AD63" s="146"/>
      <c r="AE63" s="182"/>
      <c r="AF63" s="182"/>
      <c r="AG63" s="146"/>
      <c r="AH63" s="146"/>
      <c r="AI63" s="146"/>
      <c r="AJ63" s="146"/>
      <c r="AK63" s="146"/>
      <c r="AL63" s="146"/>
      <c r="AM63" s="146"/>
      <c r="AN63" s="146"/>
      <c r="AO63" s="146"/>
    </row>
    <row r="64" spans="1:57">
      <c r="A64" s="185"/>
      <c r="B64" s="146"/>
      <c r="C64" s="146"/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6"/>
      <c r="S64" s="146"/>
      <c r="T64" s="184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82"/>
      <c r="AF64" s="182"/>
      <c r="AG64" s="146"/>
      <c r="AH64" s="146"/>
      <c r="AI64" s="146"/>
      <c r="AJ64" s="146"/>
      <c r="AK64" s="146"/>
      <c r="AL64" s="146"/>
      <c r="AM64" s="146"/>
      <c r="AN64" s="146"/>
      <c r="AO64" s="146"/>
    </row>
    <row r="65" spans="1:41" ht="14.25">
      <c r="A65" s="414"/>
      <c r="B65" s="146"/>
      <c r="C65" s="146"/>
      <c r="D65" s="146"/>
      <c r="E65" s="146"/>
      <c r="F65" s="146"/>
      <c r="G65" s="146"/>
      <c r="H65" s="146"/>
      <c r="I65" s="182"/>
      <c r="J65" s="182"/>
      <c r="K65" s="146"/>
      <c r="L65" s="183"/>
      <c r="M65" s="182"/>
      <c r="N65" s="146"/>
      <c r="O65" s="146"/>
      <c r="P65" s="146"/>
      <c r="Q65" s="146"/>
      <c r="R65" s="146"/>
      <c r="S65" s="146"/>
      <c r="T65" s="184"/>
      <c r="U65" s="146"/>
      <c r="V65" s="146"/>
      <c r="W65" s="146"/>
      <c r="X65" s="182"/>
      <c r="Y65" s="182"/>
      <c r="Z65" s="182"/>
      <c r="AA65" s="182"/>
      <c r="AB65" s="182"/>
      <c r="AC65" s="146"/>
      <c r="AD65" s="182"/>
      <c r="AE65" s="182"/>
      <c r="AF65" s="182"/>
      <c r="AG65" s="146"/>
      <c r="AH65" s="146"/>
      <c r="AI65" s="146"/>
      <c r="AJ65" s="146"/>
      <c r="AK65" s="146"/>
      <c r="AL65" s="146"/>
      <c r="AM65" s="146"/>
      <c r="AN65" s="146"/>
      <c r="AO65" s="146"/>
    </row>
    <row r="66" spans="1:41" ht="14.25">
      <c r="A66" s="414"/>
      <c r="B66" s="146"/>
      <c r="C66" s="146"/>
      <c r="D66" s="146"/>
      <c r="E66" s="146"/>
      <c r="F66" s="146"/>
      <c r="G66" s="146"/>
      <c r="H66" s="146"/>
      <c r="I66" s="182"/>
      <c r="J66" s="182"/>
      <c r="K66" s="146"/>
      <c r="L66" s="183"/>
      <c r="M66" s="182"/>
      <c r="N66" s="146"/>
      <c r="O66" s="146"/>
      <c r="P66" s="146"/>
      <c r="Q66" s="146"/>
      <c r="R66" s="146"/>
      <c r="S66" s="146"/>
      <c r="T66" s="184"/>
      <c r="U66" s="146"/>
      <c r="V66" s="146"/>
      <c r="W66" s="146"/>
      <c r="X66" s="182"/>
      <c r="Y66" s="182"/>
      <c r="Z66" s="182"/>
      <c r="AA66" s="182"/>
      <c r="AB66" s="182"/>
      <c r="AC66" s="146"/>
      <c r="AD66" s="182"/>
      <c r="AE66" s="182"/>
      <c r="AF66" s="182"/>
      <c r="AG66" s="146"/>
      <c r="AH66" s="146"/>
      <c r="AI66" s="146"/>
      <c r="AJ66" s="146"/>
      <c r="AK66" s="146"/>
      <c r="AL66" s="146"/>
      <c r="AM66" s="146"/>
      <c r="AN66" s="146"/>
      <c r="AO66" s="146"/>
    </row>
  </sheetData>
  <conditionalFormatting sqref="P19:Q62 AH19:AH62 AI19:AI22">
    <cfRule type="cellIs" dxfId="0" priority="1" stopIfTrue="1" operator="lessThan">
      <formula>0</formula>
    </cfRule>
  </conditionalFormatting>
  <dataValidations count="1">
    <dataValidation type="list" allowBlank="1" showInputMessage="1" showErrorMessage="1" prompt=" - " sqref="J11">
      <formula1>"England or Northern Ireland,Scotland,Wales"</formula1>
    </dataValidation>
  </dataValidations>
  <hyperlinks>
    <hyperlink ref="I10" r:id="rId1"/>
    <hyperlink ref="Q16" r:id="rId2"/>
    <hyperlink ref="M17" r:id="rId3"/>
  </hyperlinks>
  <pageMargins left="0.39370078740157483" right="0.39370078740157483" top="0.39370078740157483" bottom="0.39370078740157483" header="0.31496062992125984" footer="0.31496062992125984"/>
  <pageSetup paperSize="9" scale="80" fitToWidth="4" orientation="portrait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116"/>
  <sheetViews>
    <sheetView topLeftCell="Y68" zoomScale="120" zoomScaleNormal="120" workbookViewId="0">
      <selection activeCell="Y87" sqref="Y87:AF116"/>
    </sheetView>
  </sheetViews>
  <sheetFormatPr defaultColWidth="20.28515625" defaultRowHeight="12"/>
  <cols>
    <col min="1" max="1" width="19.85546875" style="652" bestFit="1" customWidth="1"/>
    <col min="2" max="2" width="7.5703125" style="652" customWidth="1"/>
    <col min="3" max="3" width="6.42578125" style="652" customWidth="1"/>
    <col min="4" max="4" width="27.28515625" style="652" customWidth="1"/>
    <col min="5" max="5" width="13.42578125" style="660" customWidth="1"/>
    <col min="6" max="9" width="13.42578125" style="652" customWidth="1"/>
    <col min="10" max="10" width="6" style="652" customWidth="1"/>
    <col min="11" max="11" width="2.42578125" style="674" customWidth="1"/>
    <col min="12" max="12" width="23" style="671" customWidth="1"/>
    <col min="13" max="13" width="7.140625" style="674" bestFit="1" customWidth="1"/>
    <col min="14" max="17" width="7.7109375" style="674" bestFit="1" customWidth="1"/>
    <col min="18" max="18" width="2.42578125" style="674" customWidth="1"/>
    <col min="19" max="19" width="31.140625" style="652" customWidth="1"/>
    <col min="20" max="24" width="10" style="652" customWidth="1"/>
    <col min="25" max="25" width="2.42578125" style="652" customWidth="1"/>
    <col min="26" max="26" width="22" style="652" customWidth="1"/>
    <col min="27" max="31" width="11.140625" style="652" customWidth="1"/>
    <col min="32" max="32" width="2.42578125" style="652" customWidth="1"/>
    <col min="33" max="16384" width="20.28515625" style="652"/>
  </cols>
  <sheetData>
    <row r="1" spans="1:32" ht="12.75" thickBot="1">
      <c r="A1" s="650" t="s">
        <v>370</v>
      </c>
      <c r="B1" s="651" t="s">
        <v>371</v>
      </c>
      <c r="D1" s="629"/>
      <c r="E1" s="630" t="s">
        <v>20</v>
      </c>
      <c r="F1" s="630" t="s">
        <v>21</v>
      </c>
      <c r="G1" s="630" t="s">
        <v>22</v>
      </c>
      <c r="H1" s="630" t="s">
        <v>23</v>
      </c>
      <c r="I1" s="631" t="s">
        <v>24</v>
      </c>
    </row>
    <row r="2" spans="1:32" ht="12.75" thickBot="1">
      <c r="A2" s="653" t="s">
        <v>372</v>
      </c>
      <c r="B2" s="654">
        <f>'Financial Model'!D2</f>
        <v>300000</v>
      </c>
      <c r="D2" s="632" t="s">
        <v>375</v>
      </c>
      <c r="E2" s="633"/>
      <c r="F2" s="634"/>
      <c r="G2" s="634"/>
      <c r="H2" s="634"/>
      <c r="I2" s="635"/>
    </row>
    <row r="3" spans="1:32" ht="12.75" thickBot="1">
      <c r="A3" s="655" t="s">
        <v>246</v>
      </c>
      <c r="B3" s="656">
        <f>'Financial Model'!D3</f>
        <v>23000</v>
      </c>
      <c r="D3" s="636" t="s">
        <v>376</v>
      </c>
      <c r="E3" s="637">
        <f>'Financial Model'!E23</f>
        <v>18548.919999999998</v>
      </c>
      <c r="F3" s="638">
        <f>'Financial Model'!E24</f>
        <v>19068.28976</v>
      </c>
      <c r="G3" s="638">
        <f>'Financial Model'!E25</f>
        <v>19602.201873279999</v>
      </c>
      <c r="H3" s="638">
        <f>'Financial Model'!E26</f>
        <v>20151.063525731839</v>
      </c>
      <c r="I3" s="639">
        <f>'Financial Model'!E27</f>
        <v>20715.293304452331</v>
      </c>
    </row>
    <row r="4" spans="1:32" ht="12.75" thickBot="1">
      <c r="A4" s="657" t="s">
        <v>218</v>
      </c>
      <c r="B4" s="658">
        <f>'Financial Model'!D4</f>
        <v>5000</v>
      </c>
      <c r="D4" s="661" t="s">
        <v>377</v>
      </c>
      <c r="E4" s="662">
        <f>'Financial Model'!F23</f>
        <v>0</v>
      </c>
      <c r="F4" s="662">
        <f ca="1">'Financial Model'!F24</f>
        <v>526.42195199999992</v>
      </c>
      <c r="G4" s="662">
        <f ca="1">'Financial Model'!F25</f>
        <v>772.41490221599975</v>
      </c>
      <c r="H4" s="662">
        <f ca="1">'Financial Model'!F26</f>
        <v>1041.0702422298475</v>
      </c>
      <c r="I4" s="663">
        <f ca="1">'Financial Model'!F27</f>
        <v>1333.4989218997623</v>
      </c>
    </row>
    <row r="5" spans="1:32" ht="13.5" thickTop="1" thickBot="1">
      <c r="A5" s="655" t="s">
        <v>373</v>
      </c>
      <c r="B5" s="656">
        <f>'Financial Model'!D5</f>
        <v>328000</v>
      </c>
      <c r="D5" s="632" t="s">
        <v>378</v>
      </c>
      <c r="E5" s="633"/>
      <c r="F5" s="664"/>
      <c r="G5" s="664"/>
      <c r="H5" s="664"/>
      <c r="I5" s="635"/>
    </row>
    <row r="6" spans="1:32" ht="12.75" thickBot="1">
      <c r="A6" s="655" t="s">
        <v>224</v>
      </c>
      <c r="B6" s="656">
        <f>'Financial Model'!D6</f>
        <v>16400</v>
      </c>
      <c r="D6" s="632" t="s">
        <v>379</v>
      </c>
      <c r="E6" s="642">
        <f>'Financial Model'!J23</f>
        <v>762.5</v>
      </c>
      <c r="F6" s="638">
        <f ca="1">'Financial Model'!J24</f>
        <v>781.5625</v>
      </c>
      <c r="G6" s="638">
        <f ca="1">'Financial Model'!J25</f>
        <v>801.1015625</v>
      </c>
      <c r="H6" s="638">
        <f ca="1">'Financial Model'!J26</f>
        <v>821.12910156250007</v>
      </c>
      <c r="I6" s="643">
        <f ca="1">'Financial Model'!J27</f>
        <v>841.65732910156237</v>
      </c>
    </row>
    <row r="7" spans="1:32" ht="12.75" thickBot="1">
      <c r="A7" s="657" t="s">
        <v>366</v>
      </c>
      <c r="B7" s="658">
        <f>'Financial Model'!D7</f>
        <v>1250</v>
      </c>
      <c r="D7" s="636" t="s">
        <v>380</v>
      </c>
      <c r="E7" s="637">
        <f>'Financial Model'!H23</f>
        <v>610</v>
      </c>
      <c r="F7" s="638">
        <f>'Financial Model'!H24</f>
        <v>625.25</v>
      </c>
      <c r="G7" s="638">
        <f>'Financial Model'!H25</f>
        <v>640.88125000000002</v>
      </c>
      <c r="H7" s="638">
        <f>'Financial Model'!H26</f>
        <v>656.90328124999996</v>
      </c>
      <c r="I7" s="639">
        <f>'Financial Model'!H27</f>
        <v>673.32586328124989</v>
      </c>
    </row>
    <row r="8" spans="1:32" ht="13.5" thickTop="1" thickBot="1">
      <c r="A8" s="657" t="s">
        <v>374</v>
      </c>
      <c r="B8" s="658">
        <f>'Financial Model'!D8</f>
        <v>345650</v>
      </c>
      <c r="D8" s="640" t="s">
        <v>381</v>
      </c>
      <c r="E8" s="638">
        <f>'Financial Model'!I23</f>
        <v>2411.3595999999998</v>
      </c>
      <c r="F8" s="638">
        <f>'Financial Model'!I24</f>
        <v>2478.8776688000003</v>
      </c>
      <c r="G8" s="638">
        <f>'Financial Model'!I25</f>
        <v>2548.2862435264001</v>
      </c>
      <c r="H8" s="638">
        <f>'Financial Model'!I26</f>
        <v>2619.6382583451391</v>
      </c>
      <c r="I8" s="641">
        <f>'Financial Model'!I27</f>
        <v>2692.9881295788032</v>
      </c>
    </row>
    <row r="9" spans="1:32" ht="13.5" thickTop="1" thickBot="1">
      <c r="D9" s="632" t="s">
        <v>382</v>
      </c>
      <c r="E9" s="642">
        <f>'Financial Model'!M23</f>
        <v>0</v>
      </c>
      <c r="F9" s="638">
        <f>'Financial Model'!M24</f>
        <v>10369.5</v>
      </c>
      <c r="G9" s="638">
        <f>'Financial Model'!M25</f>
        <v>10369.5</v>
      </c>
      <c r="H9" s="638">
        <f>'Financial Model'!M26</f>
        <v>10369.5</v>
      </c>
      <c r="I9" s="643">
        <f>'Financial Model'!M27</f>
        <v>10369.5</v>
      </c>
    </row>
    <row r="10" spans="1:32" ht="12.75" thickBot="1">
      <c r="D10" s="632" t="s">
        <v>383</v>
      </c>
      <c r="E10" s="642">
        <f>'Financial Model'!U22</f>
        <v>17650</v>
      </c>
      <c r="F10" s="638">
        <v>0</v>
      </c>
      <c r="G10" s="638">
        <v>0</v>
      </c>
      <c r="H10" s="638">
        <v>0</v>
      </c>
      <c r="I10" s="643">
        <v>0</v>
      </c>
      <c r="AF10" s="692"/>
    </row>
    <row r="11" spans="1:32" ht="12.75" thickBot="1">
      <c r="D11" s="665" t="s">
        <v>384</v>
      </c>
      <c r="E11" s="666">
        <v>0</v>
      </c>
      <c r="F11" s="662">
        <v>0</v>
      </c>
      <c r="G11" s="662">
        <v>0</v>
      </c>
      <c r="H11" s="662">
        <v>0</v>
      </c>
      <c r="I11" s="667">
        <v>0</v>
      </c>
      <c r="AF11" s="692"/>
    </row>
    <row r="12" spans="1:32" ht="13.5" thickTop="1" thickBot="1">
      <c r="D12" s="665" t="s">
        <v>385</v>
      </c>
      <c r="E12" s="666">
        <f>'Financial Model'!P23</f>
        <v>-2884.9396000000015</v>
      </c>
      <c r="F12" s="668">
        <f ca="1">'Financial Model'!P24</f>
        <v>5339.5215432000005</v>
      </c>
      <c r="G12" s="668">
        <f ca="1">'Financial Model'!P25</f>
        <v>6014.847719469597</v>
      </c>
      <c r="H12" s="668">
        <f ca="1">'Financial Model'!P26</f>
        <v>6724.9631268040503</v>
      </c>
      <c r="I12" s="667">
        <f ca="1">'Financial Model'!P27</f>
        <v>7471.3209043904772</v>
      </c>
      <c r="AF12" s="692"/>
    </row>
    <row r="13" spans="1:32" ht="13.5" thickTop="1" thickBot="1">
      <c r="D13" s="665" t="s">
        <v>386</v>
      </c>
      <c r="E13" s="666">
        <f>'Financial Model'!AP23</f>
        <v>1854.8919999999998</v>
      </c>
      <c r="F13" s="668">
        <f>'Financial Model'!AP24</f>
        <v>1906.828976</v>
      </c>
      <c r="G13" s="668">
        <f>'Financial Model'!AP25</f>
        <v>1960.2201873280001</v>
      </c>
      <c r="H13" s="668">
        <f>'Financial Model'!AP26</f>
        <v>2015.106352573184</v>
      </c>
      <c r="I13" s="667">
        <f>'Financial Model'!AP27</f>
        <v>2071.529330445233</v>
      </c>
      <c r="AF13" s="692"/>
    </row>
    <row r="14" spans="1:32" ht="13.5" thickTop="1" thickBot="1">
      <c r="D14" s="665" t="s">
        <v>79</v>
      </c>
      <c r="E14" s="666">
        <f ca="1">'Financial Model'!U23</f>
        <v>17547.398399999998</v>
      </c>
      <c r="F14" s="668">
        <f ca="1">'Financial Model'!U24</f>
        <v>25747.163407199994</v>
      </c>
      <c r="G14" s="668">
        <f ca="1">'Financial Model'!U25</f>
        <v>34702.341407661588</v>
      </c>
      <c r="H14" s="668">
        <f ca="1">'Financial Model'!U26</f>
        <v>44449.964063325409</v>
      </c>
      <c r="I14" s="667">
        <f ca="1">'Financial Model'!U27</f>
        <v>54680.426694882895</v>
      </c>
      <c r="AF14" s="692"/>
    </row>
    <row r="15" spans="1:32" ht="13.5" thickTop="1" thickBot="1">
      <c r="D15" s="665" t="s">
        <v>318</v>
      </c>
      <c r="E15" s="666">
        <f>'Financial Model'!AT23</f>
        <v>3874.7299999999996</v>
      </c>
      <c r="F15" s="668">
        <f>'Financial Model'!AT24</f>
        <v>7976.4818400000004</v>
      </c>
      <c r="G15" s="668">
        <f>'Financial Model'!AT25</f>
        <v>12315.225201020001</v>
      </c>
      <c r="H15" s="668">
        <f>'Financial Model'!AT26</f>
        <v>16901.318736921065</v>
      </c>
      <c r="I15" s="667">
        <f>'Financial Model'!AT27</f>
        <v>21745.524296040217</v>
      </c>
      <c r="AF15" s="692"/>
    </row>
    <row r="16" spans="1:32" ht="12.75" thickTop="1">
      <c r="D16" s="644" t="s">
        <v>390</v>
      </c>
      <c r="E16" s="645" t="s">
        <v>387</v>
      </c>
      <c r="F16" s="645" t="s">
        <v>388</v>
      </c>
      <c r="G16" s="645" t="s">
        <v>389</v>
      </c>
      <c r="H16" s="645" t="s">
        <v>391</v>
      </c>
      <c r="I16" s="646" t="s">
        <v>392</v>
      </c>
      <c r="J16" s="659"/>
      <c r="AF16" s="692"/>
    </row>
    <row r="17" spans="4:32" ht="12.75" thickBot="1">
      <c r="D17" s="647"/>
      <c r="E17" s="648" t="str">
        <f>INT('Financial Model'!AU27*1000)/10&amp;"%"</f>
        <v>6.4%</v>
      </c>
      <c r="F17" s="648" t="str">
        <f ca="1">INT('Financial Model'!AU32*1000)/10&amp;"%"</f>
        <v>17%</v>
      </c>
      <c r="G17" s="648" t="str">
        <f ca="1">INT('Financial Model'!AU42*1000)/10&amp;"%"</f>
        <v>39.3%</v>
      </c>
      <c r="H17" s="648" t="str">
        <f ca="1">INT('Financial Model'!AU52*1000)/10&amp;"%"</f>
        <v>63.2%</v>
      </c>
      <c r="I17" s="649" t="str">
        <f ca="1">INT('Financial Model'!AU62*1000)/10&amp;"%"</f>
        <v>88.8%</v>
      </c>
      <c r="AF17" s="692"/>
    </row>
    <row r="18" spans="4:32" ht="9.9499999999999993" customHeight="1">
      <c r="K18" s="669"/>
      <c r="L18" s="670"/>
      <c r="M18" s="669"/>
      <c r="N18" s="669"/>
      <c r="O18" s="669"/>
      <c r="P18" s="669"/>
      <c r="Q18" s="669"/>
      <c r="R18" s="669"/>
      <c r="AF18" s="692"/>
    </row>
    <row r="19" spans="4:32" ht="9.9499999999999993" customHeight="1">
      <c r="K19" s="669"/>
      <c r="M19" s="672" t="s">
        <v>20</v>
      </c>
      <c r="N19" s="672" t="s">
        <v>21</v>
      </c>
      <c r="O19" s="672" t="s">
        <v>22</v>
      </c>
      <c r="P19" s="672" t="s">
        <v>23</v>
      </c>
      <c r="Q19" s="672" t="s">
        <v>24</v>
      </c>
      <c r="R19" s="669"/>
      <c r="AF19" s="692"/>
    </row>
    <row r="20" spans="4:32" ht="9.9499999999999993" customHeight="1">
      <c r="K20" s="669"/>
      <c r="M20" s="673" t="s">
        <v>25</v>
      </c>
      <c r="N20" s="673" t="s">
        <v>25</v>
      </c>
      <c r="O20" s="673" t="s">
        <v>25</v>
      </c>
      <c r="P20" s="673" t="s">
        <v>25</v>
      </c>
      <c r="Q20" s="673" t="s">
        <v>25</v>
      </c>
      <c r="R20" s="669"/>
      <c r="AF20" s="692"/>
    </row>
    <row r="21" spans="4:32" ht="9.9499999999999993" customHeight="1">
      <c r="K21" s="669"/>
      <c r="L21" s="671" t="str">
        <f>'P&amp;L'!B4</f>
        <v>Turnover</v>
      </c>
      <c r="R21" s="669"/>
      <c r="AF21" s="692"/>
    </row>
    <row r="22" spans="4:32" ht="9.9499999999999993" customHeight="1">
      <c r="K22" s="669"/>
      <c r="L22" s="677" t="str">
        <f>'P&amp;L'!B5</f>
        <v>Rent Received</v>
      </c>
      <c r="M22" s="675">
        <f>'P&amp;L'!H5</f>
        <v>18548.919999999998</v>
      </c>
      <c r="N22" s="675">
        <f>'P&amp;L'!I5</f>
        <v>19068.28976</v>
      </c>
      <c r="O22" s="675">
        <f>'P&amp;L'!J5</f>
        <v>19602.201873279999</v>
      </c>
      <c r="P22" s="675">
        <f>'P&amp;L'!K5</f>
        <v>20151.063525731839</v>
      </c>
      <c r="Q22" s="675">
        <f>'P&amp;L'!L5</f>
        <v>20715.293304452331</v>
      </c>
      <c r="R22" s="669"/>
      <c r="AF22" s="692"/>
    </row>
    <row r="23" spans="4:32" ht="9.9499999999999993" customHeight="1">
      <c r="K23" s="669"/>
      <c r="L23" s="677" t="str">
        <f>'P&amp;L'!B6</f>
        <v>Bank Interests</v>
      </c>
      <c r="M23" s="675">
        <f>'P&amp;L'!H6</f>
        <v>0</v>
      </c>
      <c r="N23" s="675">
        <f ca="1">'P&amp;L'!I6</f>
        <v>526.42195199999992</v>
      </c>
      <c r="O23" s="675">
        <f ca="1">'P&amp;L'!J6</f>
        <v>772.41490221599975</v>
      </c>
      <c r="P23" s="675">
        <f ca="1">'P&amp;L'!K6</f>
        <v>1041.0702422298475</v>
      </c>
      <c r="Q23" s="675">
        <f ca="1">'P&amp;L'!L6</f>
        <v>1333.4989218997623</v>
      </c>
      <c r="R23" s="669"/>
      <c r="AF23" s="692"/>
    </row>
    <row r="24" spans="4:32" ht="9.9499999999999993" customHeight="1">
      <c r="K24" s="669"/>
      <c r="M24" s="675"/>
      <c r="N24" s="675"/>
      <c r="O24" s="675"/>
      <c r="P24" s="675"/>
      <c r="Q24" s="675"/>
      <c r="R24" s="669"/>
      <c r="AF24" s="692"/>
    </row>
    <row r="25" spans="4:32" ht="9.9499999999999993" customHeight="1">
      <c r="K25" s="669"/>
      <c r="L25" s="671" t="str">
        <f>'P&amp;L'!B8</f>
        <v>Total Income</v>
      </c>
      <c r="M25" s="676">
        <f>SUM(M22:M24)</f>
        <v>18548.919999999998</v>
      </c>
      <c r="N25" s="676">
        <f t="shared" ref="N25:Q25" ca="1" si="0">SUM(N22:N24)</f>
        <v>19594.711712</v>
      </c>
      <c r="O25" s="676">
        <f t="shared" ca="1" si="0"/>
        <v>20374.616775495997</v>
      </c>
      <c r="P25" s="676">
        <f t="shared" ca="1" si="0"/>
        <v>21192.133767961688</v>
      </c>
      <c r="Q25" s="676">
        <f t="shared" ca="1" si="0"/>
        <v>22048.792226352092</v>
      </c>
      <c r="R25" s="669"/>
      <c r="AF25" s="692"/>
    </row>
    <row r="26" spans="4:32" ht="9.9499999999999993" customHeight="1">
      <c r="K26" s="669"/>
      <c r="M26" s="675"/>
      <c r="N26" s="675"/>
      <c r="O26" s="675"/>
      <c r="P26" s="675"/>
      <c r="Q26" s="675"/>
      <c r="R26" s="669"/>
      <c r="AF26" s="692"/>
    </row>
    <row r="27" spans="4:32" ht="9.9499999999999993" customHeight="1">
      <c r="K27" s="669"/>
      <c r="L27" s="671" t="str">
        <f>'P&amp;L'!B10</f>
        <v>(Less Overheads)</v>
      </c>
      <c r="M27" s="675"/>
      <c r="N27" s="675"/>
      <c r="O27" s="675"/>
      <c r="P27" s="675"/>
      <c r="Q27" s="675"/>
      <c r="R27" s="669"/>
      <c r="AF27" s="692"/>
    </row>
    <row r="28" spans="4:32" ht="9.9499999999999993" customHeight="1">
      <c r="K28" s="669"/>
      <c r="L28" s="677" t="str">
        <f>'P&amp;L'!B12</f>
        <v>Property Mgmt Costs</v>
      </c>
      <c r="M28" s="675">
        <f>'P&amp;L'!H12</f>
        <v>-2411.3595999999998</v>
      </c>
      <c r="N28" s="675">
        <f>'P&amp;L'!I12</f>
        <v>-2478.8776688000003</v>
      </c>
      <c r="O28" s="675">
        <f>'P&amp;L'!J12</f>
        <v>-2548.2862435264001</v>
      </c>
      <c r="P28" s="675">
        <f>'P&amp;L'!K12</f>
        <v>-2619.6382583451391</v>
      </c>
      <c r="Q28" s="675">
        <f>'P&amp;L'!L12</f>
        <v>-2692.9881295788032</v>
      </c>
      <c r="R28" s="669"/>
      <c r="AF28" s="692"/>
    </row>
    <row r="29" spans="4:32" ht="9.9499999999999993" customHeight="1">
      <c r="K29" s="669"/>
      <c r="L29" s="677" t="str">
        <f>'P&amp;L'!B15</f>
        <v>Repairs and Renewals</v>
      </c>
      <c r="M29" s="675">
        <f>'P&amp;L'!H15</f>
        <v>-762.5</v>
      </c>
      <c r="N29" s="675">
        <f ca="1">'P&amp;L'!I15</f>
        <v>-781.5625</v>
      </c>
      <c r="O29" s="675">
        <f ca="1">'P&amp;L'!J15</f>
        <v>-801.1015625</v>
      </c>
      <c r="P29" s="675">
        <f ca="1">'P&amp;L'!K15</f>
        <v>-821.12910156250007</v>
      </c>
      <c r="Q29" s="675">
        <f ca="1">'P&amp;L'!L15</f>
        <v>-841.65732910156237</v>
      </c>
      <c r="R29" s="669"/>
      <c r="AF29" s="692"/>
    </row>
    <row r="30" spans="4:32" ht="9.9499999999999993" customHeight="1">
      <c r="K30" s="669"/>
      <c r="L30" s="677" t="str">
        <f>'P&amp;L'!B16</f>
        <v>Insurance</v>
      </c>
      <c r="M30" s="675">
        <f>'P&amp;L'!H16</f>
        <v>-610</v>
      </c>
      <c r="N30" s="675">
        <f>'P&amp;L'!I16</f>
        <v>-625.25</v>
      </c>
      <c r="O30" s="675">
        <f>'P&amp;L'!J16</f>
        <v>-640.88125000000002</v>
      </c>
      <c r="P30" s="675">
        <f>'P&amp;L'!K16</f>
        <v>-656.90328124999996</v>
      </c>
      <c r="Q30" s="675">
        <f>'P&amp;L'!L16</f>
        <v>-673.32586328124989</v>
      </c>
      <c r="R30" s="669"/>
      <c r="AF30" s="692"/>
    </row>
    <row r="31" spans="4:32" ht="9.9499999999999993" customHeight="1">
      <c r="K31" s="669"/>
      <c r="L31" s="677" t="str">
        <f>'P&amp;L'!B17</f>
        <v>Fundraising Fees &amp; Costs</v>
      </c>
      <c r="M31" s="675"/>
      <c r="N31" s="675"/>
      <c r="O31" s="675"/>
      <c r="P31" s="675"/>
      <c r="Q31" s="675"/>
      <c r="R31" s="669"/>
      <c r="AF31" s="692"/>
    </row>
    <row r="32" spans="4:32" ht="9.9499999999999993" customHeight="1">
      <c r="K32" s="669"/>
      <c r="L32" s="671" t="str">
        <f>'P&amp;L'!B18</f>
        <v>(Total Overheads)</v>
      </c>
      <c r="M32" s="676">
        <f>SUM(M28:M31)</f>
        <v>-3783.8595999999998</v>
      </c>
      <c r="N32" s="676">
        <f ca="1">SUM(N28:N31)</f>
        <v>-3885.6901688000003</v>
      </c>
      <c r="O32" s="676">
        <f ca="1">SUM(O28:O31)</f>
        <v>-3990.2690560264</v>
      </c>
      <c r="P32" s="676">
        <f ca="1">SUM(P28:P31)</f>
        <v>-4097.6706411576397</v>
      </c>
      <c r="Q32" s="676">
        <f ca="1">SUM(Q28:Q31)</f>
        <v>-4207.9713219616151</v>
      </c>
      <c r="R32" s="669"/>
      <c r="AF32" s="692"/>
    </row>
    <row r="33" spans="11:32" ht="9.9499999999999993" customHeight="1">
      <c r="K33" s="669"/>
      <c r="M33" s="675"/>
      <c r="N33" s="675"/>
      <c r="O33" s="675"/>
      <c r="P33" s="675"/>
      <c r="Q33" s="675"/>
      <c r="R33" s="669"/>
      <c r="AF33" s="692"/>
    </row>
    <row r="34" spans="11:32" ht="9.9499999999999993" customHeight="1">
      <c r="K34" s="669"/>
      <c r="L34" s="671" t="str">
        <f>'P&amp;L'!B20</f>
        <v>EBITDA</v>
      </c>
      <c r="M34" s="676">
        <f>M25+M32</f>
        <v>14765.060399999998</v>
      </c>
      <c r="N34" s="676">
        <f ca="1">N25+N32</f>
        <v>15709.0215432</v>
      </c>
      <c r="O34" s="676">
        <f ca="1">O25+O32</f>
        <v>16384.347719469595</v>
      </c>
      <c r="P34" s="676">
        <f ca="1">P25+P32</f>
        <v>17094.463126804047</v>
      </c>
      <c r="Q34" s="676">
        <f ca="1">Q25+Q32</f>
        <v>17840.820904390479</v>
      </c>
      <c r="R34" s="669"/>
      <c r="AF34" s="692"/>
    </row>
    <row r="35" spans="11:32" ht="9.9499999999999993" customHeight="1">
      <c r="K35" s="669"/>
      <c r="M35" s="675"/>
      <c r="N35" s="675"/>
      <c r="O35" s="675"/>
      <c r="P35" s="675"/>
      <c r="Q35" s="675"/>
      <c r="R35" s="669"/>
      <c r="AF35" s="692"/>
    </row>
    <row r="36" spans="11:32" ht="9.9499999999999993" customHeight="1">
      <c r="K36" s="669"/>
      <c r="L36" s="671" t="str">
        <f>'P&amp;L'!B22</f>
        <v>(Less Interest)</v>
      </c>
      <c r="M36" s="675"/>
      <c r="N36" s="675"/>
      <c r="O36" s="675"/>
      <c r="P36" s="675"/>
      <c r="Q36" s="675"/>
      <c r="R36" s="669"/>
      <c r="AF36" s="692"/>
    </row>
    <row r="37" spans="11:32" ht="9.9499999999999993" customHeight="1">
      <c r="K37" s="669"/>
      <c r="L37" s="677" t="str">
        <f>'P&amp;L'!B23</f>
        <v>Community Shares</v>
      </c>
      <c r="M37" s="675">
        <f>'P&amp;L'!H23</f>
        <v>0</v>
      </c>
      <c r="N37" s="675">
        <f>'P&amp;L'!I23</f>
        <v>-10369.5</v>
      </c>
      <c r="O37" s="675">
        <f>'P&amp;L'!J23</f>
        <v>-10369.5</v>
      </c>
      <c r="P37" s="675">
        <f>'P&amp;L'!K23</f>
        <v>-10369.5</v>
      </c>
      <c r="Q37" s="675">
        <f>'P&amp;L'!L23</f>
        <v>-10369.5</v>
      </c>
      <c r="R37" s="669"/>
      <c r="AF37" s="692"/>
    </row>
    <row r="38" spans="11:32" ht="9.9499999999999993" customHeight="1">
      <c r="K38" s="669"/>
      <c r="L38" s="677" t="str">
        <f>'P&amp;L'!B24</f>
        <v>Mortgage</v>
      </c>
      <c r="M38" s="675"/>
      <c r="N38" s="675">
        <f>-Mortgage!O15</f>
        <v>0</v>
      </c>
      <c r="O38" s="675">
        <f>-Mortgage!P15</f>
        <v>0</v>
      </c>
      <c r="P38" s="675">
        <f>-Mortgage!Q15</f>
        <v>0</v>
      </c>
      <c r="Q38" s="675">
        <f>-Mortgage!R15</f>
        <v>0</v>
      </c>
      <c r="R38" s="669"/>
      <c r="AF38" s="692"/>
    </row>
    <row r="39" spans="11:32" ht="9.9499999999999993" customHeight="1">
      <c r="K39" s="669"/>
      <c r="L39" s="671" t="str">
        <f>'P&amp;L'!B25</f>
        <v>(Total Interest)</v>
      </c>
      <c r="M39" s="676">
        <f t="shared" ref="M39:Q39" si="1">SUM(M37:M38)</f>
        <v>0</v>
      </c>
      <c r="N39" s="676">
        <f t="shared" si="1"/>
        <v>-10369.5</v>
      </c>
      <c r="O39" s="676">
        <f t="shared" si="1"/>
        <v>-10369.5</v>
      </c>
      <c r="P39" s="676">
        <f t="shared" si="1"/>
        <v>-10369.5</v>
      </c>
      <c r="Q39" s="676">
        <f t="shared" si="1"/>
        <v>-10369.5</v>
      </c>
      <c r="R39" s="669"/>
      <c r="AF39" s="692"/>
    </row>
    <row r="40" spans="11:32" ht="9.9499999999999993" customHeight="1">
      <c r="K40" s="669"/>
      <c r="M40" s="675"/>
      <c r="N40" s="675"/>
      <c r="O40" s="675"/>
      <c r="P40" s="675"/>
      <c r="Q40" s="675"/>
      <c r="R40" s="669"/>
      <c r="AF40" s="692"/>
    </row>
    <row r="41" spans="11:32" ht="9.9499999999999993" customHeight="1">
      <c r="K41" s="669"/>
      <c r="L41" s="671" t="str">
        <f>'P&amp;L'!B27</f>
        <v>(Extra-Ordinary Day 1 Costs)</v>
      </c>
      <c r="M41" s="675"/>
      <c r="N41" s="675"/>
      <c r="O41" s="675"/>
      <c r="P41" s="675"/>
      <c r="Q41" s="675"/>
      <c r="R41" s="669"/>
      <c r="AF41" s="692"/>
    </row>
    <row r="42" spans="11:32" ht="9.9499999999999993" customHeight="1">
      <c r="K42" s="669"/>
      <c r="L42" s="677" t="str">
        <f>'P&amp;L'!B28</f>
        <v>Other costs</v>
      </c>
      <c r="M42" s="675">
        <f>'P&amp;L'!H28</f>
        <v>0</v>
      </c>
      <c r="N42" s="675">
        <f>'P&amp;L'!I28</f>
        <v>0</v>
      </c>
      <c r="O42" s="675">
        <f>'P&amp;L'!J28</f>
        <v>0</v>
      </c>
      <c r="P42" s="675">
        <f>'P&amp;L'!K28</f>
        <v>0</v>
      </c>
      <c r="Q42" s="675">
        <f>'P&amp;L'!L28</f>
        <v>0</v>
      </c>
      <c r="R42" s="669"/>
      <c r="AF42" s="692"/>
    </row>
    <row r="43" spans="11:32" ht="9.9499999999999993" customHeight="1">
      <c r="K43" s="669"/>
      <c r="L43" s="677" t="str">
        <f>'P&amp;L'!B29</f>
        <v>Business Development</v>
      </c>
      <c r="M43" s="675">
        <f>-'Start Up Costs'!T7</f>
        <v>0</v>
      </c>
      <c r="N43" s="675">
        <f>-'Start Up Costs'!U7</f>
        <v>0</v>
      </c>
      <c r="O43" s="675">
        <f>-'Start Up Costs'!V7</f>
        <v>0</v>
      </c>
      <c r="P43" s="675">
        <f>-'Start Up Costs'!W7</f>
        <v>0</v>
      </c>
      <c r="Q43" s="675">
        <f>-'Start Up Costs'!X7</f>
        <v>0</v>
      </c>
      <c r="R43" s="669"/>
      <c r="AF43" s="692"/>
    </row>
    <row r="44" spans="11:32" ht="9.9499999999999993" customHeight="1">
      <c r="K44" s="669"/>
      <c r="L44" s="671" t="str">
        <f>'P&amp;L'!B30</f>
        <v>(Total Extra-Ordinary Day 1 Costs)</v>
      </c>
      <c r="M44" s="676">
        <f t="shared" ref="M44:Q44" si="2">SUM(M42:M43)</f>
        <v>0</v>
      </c>
      <c r="N44" s="676">
        <f t="shared" si="2"/>
        <v>0</v>
      </c>
      <c r="O44" s="676">
        <f t="shared" si="2"/>
        <v>0</v>
      </c>
      <c r="P44" s="676">
        <f t="shared" si="2"/>
        <v>0</v>
      </c>
      <c r="Q44" s="676">
        <f t="shared" si="2"/>
        <v>0</v>
      </c>
      <c r="R44" s="669"/>
      <c r="AF44" s="692"/>
    </row>
    <row r="45" spans="11:32" ht="9.9499999999999993" customHeight="1">
      <c r="K45" s="669"/>
      <c r="M45" s="675"/>
      <c r="N45" s="675"/>
      <c r="O45" s="675"/>
      <c r="P45" s="675"/>
      <c r="Q45" s="675"/>
      <c r="R45" s="669"/>
      <c r="AF45" s="692"/>
    </row>
    <row r="46" spans="11:32" ht="9.9499999999999993" customHeight="1">
      <c r="K46" s="669"/>
      <c r="L46" s="671" t="str">
        <f>'P&amp;L'!B32</f>
        <v>Gross Profit</v>
      </c>
      <c r="M46" s="676">
        <f t="shared" ref="M46:Q46" si="3">M34+M39+M44</f>
        <v>14765.060399999998</v>
      </c>
      <c r="N46" s="676">
        <f t="shared" ca="1" si="3"/>
        <v>5339.5215432000005</v>
      </c>
      <c r="O46" s="676">
        <f t="shared" ca="1" si="3"/>
        <v>6014.8477194695952</v>
      </c>
      <c r="P46" s="676">
        <f t="shared" ca="1" si="3"/>
        <v>6724.9631268040466</v>
      </c>
      <c r="Q46" s="676">
        <f t="shared" ca="1" si="3"/>
        <v>7471.320904390479</v>
      </c>
      <c r="R46" s="669"/>
      <c r="AF46" s="692"/>
    </row>
    <row r="47" spans="11:32" ht="9.9499999999999993" customHeight="1">
      <c r="K47" s="669"/>
      <c r="L47" s="671" t="str">
        <f>'P&amp;L'!B33</f>
        <v>(less Tax)</v>
      </c>
      <c r="M47" s="675">
        <f ca="1">'P&amp;L'!H33</f>
        <v>0</v>
      </c>
      <c r="N47" s="675">
        <f ca="1">'P&amp;L'!I33</f>
        <v>0</v>
      </c>
      <c r="O47" s="675">
        <f ca="1">'P&amp;L'!J33</f>
        <v>0</v>
      </c>
      <c r="P47" s="675">
        <f ca="1">'P&amp;L'!K33</f>
        <v>0</v>
      </c>
      <c r="Q47" s="675">
        <f ca="1">'P&amp;L'!L33</f>
        <v>-348.15226850084946</v>
      </c>
      <c r="R47" s="669"/>
      <c r="AF47" s="692"/>
    </row>
    <row r="48" spans="11:32" ht="9.9499999999999993" customHeight="1">
      <c r="K48" s="669"/>
      <c r="L48" s="671" t="str">
        <f>'P&amp;L'!B34</f>
        <v>Net Profit</v>
      </c>
      <c r="M48" s="678">
        <f t="shared" ref="M48:Q48" ca="1" si="4">SUM(M46:M47)</f>
        <v>14765.060399999998</v>
      </c>
      <c r="N48" s="678">
        <f t="shared" ca="1" si="4"/>
        <v>5339.5215432000005</v>
      </c>
      <c r="O48" s="678">
        <f t="shared" ca="1" si="4"/>
        <v>6014.8477194695952</v>
      </c>
      <c r="P48" s="678">
        <f t="shared" ca="1" si="4"/>
        <v>6724.9631268040466</v>
      </c>
      <c r="Q48" s="678">
        <f t="shared" ca="1" si="4"/>
        <v>7123.1686358896295</v>
      </c>
      <c r="R48" s="669"/>
      <c r="AF48" s="692"/>
    </row>
    <row r="49" spans="11:32" ht="9.9499999999999993" customHeight="1">
      <c r="K49" s="669"/>
      <c r="M49" s="675"/>
      <c r="N49" s="675"/>
      <c r="O49" s="675"/>
      <c r="P49" s="675"/>
      <c r="Q49" s="675"/>
      <c r="R49" s="669"/>
      <c r="AF49" s="692"/>
    </row>
    <row r="50" spans="11:32" ht="9.9499999999999993" customHeight="1">
      <c r="K50" s="669"/>
      <c r="L50" s="671" t="str">
        <f>'P&amp;L'!B36</f>
        <v>Asset Appreciation</v>
      </c>
      <c r="M50" s="675"/>
      <c r="N50" s="675"/>
      <c r="O50" s="675"/>
      <c r="P50" s="675"/>
      <c r="Q50" s="675"/>
      <c r="R50" s="669"/>
      <c r="AF50" s="692"/>
    </row>
    <row r="51" spans="11:32" ht="9.9499999999999993" customHeight="1">
      <c r="K51" s="669"/>
      <c r="L51" s="677" t="str">
        <f>'P&amp;L'!B37</f>
        <v>Land &amp; Buildings</v>
      </c>
      <c r="M51" s="675">
        <f ca="1">'P&amp;L'!H37</f>
        <v>-3000</v>
      </c>
      <c r="N51" s="675">
        <f ca="1">'P&amp;L'!I37</f>
        <v>-3000</v>
      </c>
      <c r="O51" s="675">
        <f ca="1">'P&amp;L'!J37</f>
        <v>-3000</v>
      </c>
      <c r="P51" s="675">
        <f ca="1">'P&amp;L'!K37</f>
        <v>-3000</v>
      </c>
      <c r="Q51" s="675">
        <f ca="1">'P&amp;L'!L37</f>
        <v>-3000</v>
      </c>
      <c r="R51" s="669"/>
      <c r="AF51" s="692"/>
    </row>
    <row r="52" spans="11:32" ht="9.9499999999999993" customHeight="1">
      <c r="K52" s="669"/>
      <c r="L52" s="677" t="str">
        <f>'P&amp;L'!B38</f>
        <v>Fixtures and Fittings</v>
      </c>
      <c r="M52" s="679">
        <f ca="1">'P&amp;L'!H38</f>
        <v>-166.66666666666666</v>
      </c>
      <c r="N52" s="679">
        <f ca="1">'P&amp;L'!I38</f>
        <v>-166.66666666666697</v>
      </c>
      <c r="O52" s="679">
        <f ca="1">'P&amp;L'!J38</f>
        <v>-166.66666666666697</v>
      </c>
      <c r="P52" s="679">
        <f ca="1">'P&amp;L'!K38</f>
        <v>-166.66666666666697</v>
      </c>
      <c r="Q52" s="679">
        <f ca="1">'P&amp;L'!L38</f>
        <v>-166.66666666666697</v>
      </c>
      <c r="R52" s="669"/>
      <c r="AF52" s="692"/>
    </row>
    <row r="53" spans="11:32" ht="9.9499999999999993" customHeight="1">
      <c r="K53" s="669"/>
      <c r="L53" s="677" t="str">
        <f>'P&amp;L'!B39</f>
        <v>Total Asset Depreciation</v>
      </c>
      <c r="M53" s="675">
        <f ca="1">SUM(M51:M52)</f>
        <v>-3166.6666666666665</v>
      </c>
      <c r="N53" s="675">
        <f ca="1">N52+N51</f>
        <v>-3166.666666666667</v>
      </c>
      <c r="O53" s="675">
        <f t="shared" ref="O53:Q53" ca="1" si="5">O52+O51</f>
        <v>-3166.666666666667</v>
      </c>
      <c r="P53" s="675">
        <f t="shared" ca="1" si="5"/>
        <v>-3166.666666666667</v>
      </c>
      <c r="Q53" s="675">
        <f t="shared" ca="1" si="5"/>
        <v>-3166.666666666667</v>
      </c>
      <c r="R53" s="669"/>
      <c r="AF53" s="692"/>
    </row>
    <row r="54" spans="11:32" ht="9.9499999999999993" customHeight="1">
      <c r="K54" s="669"/>
      <c r="L54" s="677" t="str">
        <f>'P&amp;L'!B40</f>
        <v>Property Appreciation</v>
      </c>
      <c r="M54" s="675">
        <f>'P&amp;L'!H40</f>
        <v>7625</v>
      </c>
      <c r="N54" s="675">
        <f>'P&amp;L'!I40</f>
        <v>7815.625</v>
      </c>
      <c r="O54" s="675">
        <f>'P&amp;L'!J40</f>
        <v>8011.015625</v>
      </c>
      <c r="P54" s="675">
        <f>'P&amp;L'!K40</f>
        <v>8211.2910156249418</v>
      </c>
      <c r="Q54" s="675">
        <f>'P&amp;L'!L40</f>
        <v>8416.5732910155784</v>
      </c>
      <c r="R54" s="669"/>
      <c r="AF54" s="692"/>
    </row>
    <row r="55" spans="11:32" ht="9.9499999999999993" customHeight="1" thickBot="1">
      <c r="K55" s="669"/>
      <c r="L55" s="671" t="str">
        <f>'P&amp;L'!B41</f>
        <v>Total Appreciation</v>
      </c>
      <c r="M55" s="676">
        <f ca="1">SUM(M53:M54)</f>
        <v>4458.3333333333339</v>
      </c>
      <c r="N55" s="676">
        <f t="shared" ref="N55:Q55" ca="1" si="6">SUM(N53:N54)</f>
        <v>4648.958333333333</v>
      </c>
      <c r="O55" s="676">
        <f t="shared" ca="1" si="6"/>
        <v>4844.348958333333</v>
      </c>
      <c r="P55" s="676">
        <f t="shared" ca="1" si="6"/>
        <v>5044.6243489582748</v>
      </c>
      <c r="Q55" s="676">
        <f t="shared" ca="1" si="6"/>
        <v>5249.9066243489115</v>
      </c>
      <c r="R55" s="669"/>
      <c r="AF55" s="692"/>
    </row>
    <row r="56" spans="11:32" ht="9.9499999999999993" customHeight="1" thickTop="1">
      <c r="K56" s="669"/>
      <c r="L56" s="670"/>
      <c r="M56" s="680"/>
      <c r="N56" s="680"/>
      <c r="O56" s="680"/>
      <c r="P56" s="680"/>
      <c r="Q56" s="680"/>
      <c r="R56" s="669"/>
      <c r="AF56" s="692"/>
    </row>
    <row r="57" spans="11:32">
      <c r="AF57" s="692"/>
    </row>
    <row r="58" spans="11:32" ht="9.9499999999999993" customHeight="1">
      <c r="R58" s="681"/>
      <c r="S58" s="681"/>
      <c r="T58" s="681"/>
      <c r="U58" s="681"/>
      <c r="V58" s="681"/>
      <c r="W58" s="681"/>
      <c r="X58" s="681"/>
      <c r="Y58" s="681"/>
      <c r="AF58" s="693"/>
    </row>
    <row r="59" spans="11:32" ht="9.9499999999999993" customHeight="1">
      <c r="R59" s="681"/>
      <c r="S59" s="682"/>
      <c r="T59" s="683" t="s">
        <v>20</v>
      </c>
      <c r="U59" s="683" t="s">
        <v>21</v>
      </c>
      <c r="V59" s="683" t="s">
        <v>22</v>
      </c>
      <c r="W59" s="683" t="s">
        <v>23</v>
      </c>
      <c r="X59" s="683" t="s">
        <v>24</v>
      </c>
      <c r="Y59" s="681"/>
      <c r="AF59" s="693"/>
    </row>
    <row r="60" spans="11:32" ht="9.9499999999999993" customHeight="1">
      <c r="R60" s="681"/>
      <c r="S60" s="682"/>
      <c r="T60" s="683" t="s">
        <v>25</v>
      </c>
      <c r="U60" s="683" t="s">
        <v>25</v>
      </c>
      <c r="V60" s="683" t="s">
        <v>25</v>
      </c>
      <c r="W60" s="683" t="s">
        <v>25</v>
      </c>
      <c r="X60" s="683" t="s">
        <v>25</v>
      </c>
      <c r="Y60" s="681"/>
      <c r="AF60" s="693"/>
    </row>
    <row r="61" spans="11:32" ht="9.9499999999999993" customHeight="1">
      <c r="R61" s="681"/>
      <c r="S61" s="684" t="s">
        <v>40</v>
      </c>
      <c r="T61" s="682"/>
      <c r="U61" s="682"/>
      <c r="V61" s="682"/>
      <c r="W61" s="682"/>
      <c r="X61" s="682"/>
      <c r="Y61" s="681"/>
      <c r="AF61" s="693"/>
    </row>
    <row r="62" spans="11:32" ht="9.9499999999999993" customHeight="1">
      <c r="R62" s="681"/>
      <c r="S62" s="685" t="s">
        <v>38</v>
      </c>
      <c r="T62" s="686">
        <f>'Cash Flow'!H5</f>
        <v>-2884.9395999999979</v>
      </c>
      <c r="U62" s="686">
        <f ca="1">'Cash Flow'!I5</f>
        <v>15709.0215432</v>
      </c>
      <c r="V62" s="686">
        <f ca="1">'Cash Flow'!J5</f>
        <v>16384.347719469595</v>
      </c>
      <c r="W62" s="686">
        <f ca="1">'Cash Flow'!K5</f>
        <v>17094.463126804047</v>
      </c>
      <c r="X62" s="686">
        <f ca="1">'Cash Flow'!L5</f>
        <v>17840.820904390479</v>
      </c>
      <c r="Y62" s="681"/>
      <c r="AF62" s="693"/>
    </row>
    <row r="63" spans="11:32" ht="9.9499999999999993" customHeight="1">
      <c r="R63" s="681"/>
      <c r="S63" s="687" t="s">
        <v>41</v>
      </c>
      <c r="T63" s="686"/>
      <c r="U63" s="686"/>
      <c r="V63" s="686"/>
      <c r="W63" s="686"/>
      <c r="X63" s="686"/>
      <c r="Y63" s="681"/>
      <c r="AF63" s="693"/>
    </row>
    <row r="64" spans="11:32" ht="9.9499999999999993" customHeight="1">
      <c r="R64" s="681"/>
      <c r="S64" s="685" t="s">
        <v>44</v>
      </c>
      <c r="T64" s="686">
        <f>'Cash Flow'!H8</f>
        <v>0</v>
      </c>
      <c r="U64" s="686">
        <f>'Cash Flow'!I8</f>
        <v>10369.5</v>
      </c>
      <c r="V64" s="686">
        <f>'Cash Flow'!J8</f>
        <v>10369.5</v>
      </c>
      <c r="W64" s="686">
        <f>'Cash Flow'!K8</f>
        <v>10369.5</v>
      </c>
      <c r="X64" s="686">
        <f>'Cash Flow'!L8</f>
        <v>10369.5</v>
      </c>
      <c r="Y64" s="681"/>
      <c r="AF64" s="693"/>
    </row>
    <row r="65" spans="18:32" ht="9.9499999999999993" customHeight="1">
      <c r="R65" s="681"/>
      <c r="S65" s="687" t="s">
        <v>48</v>
      </c>
      <c r="T65" s="686"/>
      <c r="U65" s="686"/>
      <c r="V65" s="686"/>
      <c r="W65" s="686"/>
      <c r="X65" s="686"/>
      <c r="Y65" s="681"/>
      <c r="AF65" s="693"/>
    </row>
    <row r="66" spans="18:32" ht="9.9499999999999993" customHeight="1">
      <c r="R66" s="681"/>
      <c r="S66" s="685" t="s">
        <v>50</v>
      </c>
      <c r="T66" s="686">
        <f>'Cash Flow'!H14</f>
        <v>0</v>
      </c>
      <c r="U66" s="686">
        <f>'Cash Flow'!I14</f>
        <v>-10369.5</v>
      </c>
      <c r="V66" s="686">
        <f>'Cash Flow'!J14</f>
        <v>-10369.5</v>
      </c>
      <c r="W66" s="686">
        <f>'Cash Flow'!K14</f>
        <v>-10369.5</v>
      </c>
      <c r="X66" s="686">
        <f>'Cash Flow'!L14</f>
        <v>-10369.5</v>
      </c>
      <c r="Y66" s="681"/>
      <c r="AF66" s="693"/>
    </row>
    <row r="67" spans="18:32" ht="9.9499999999999993" customHeight="1">
      <c r="R67" s="681"/>
      <c r="S67" s="684" t="s">
        <v>62</v>
      </c>
      <c r="T67" s="688">
        <f>SUM(T62:T66)</f>
        <v>-2884.9395999999979</v>
      </c>
      <c r="U67" s="688">
        <f t="shared" ref="U67:X67" ca="1" si="7">SUM(U62:U66)</f>
        <v>15709.0215432</v>
      </c>
      <c r="V67" s="688">
        <f t="shared" ca="1" si="7"/>
        <v>16384.347719469595</v>
      </c>
      <c r="W67" s="688">
        <f t="shared" ca="1" si="7"/>
        <v>17094.463126804047</v>
      </c>
      <c r="X67" s="688">
        <f t="shared" ca="1" si="7"/>
        <v>17840.820904390479</v>
      </c>
      <c r="Y67" s="681"/>
      <c r="AF67" s="693"/>
    </row>
    <row r="68" spans="18:32" ht="9.9499999999999993" customHeight="1">
      <c r="R68" s="681"/>
      <c r="S68" s="682"/>
      <c r="T68" s="686"/>
      <c r="U68" s="686"/>
      <c r="V68" s="686"/>
      <c r="W68" s="686"/>
      <c r="X68" s="686"/>
      <c r="Y68" s="681"/>
      <c r="AF68" s="693"/>
    </row>
    <row r="69" spans="18:32" ht="9.9499999999999993" customHeight="1">
      <c r="R69" s="681"/>
      <c r="S69" s="684" t="s">
        <v>63</v>
      </c>
      <c r="T69" s="686"/>
      <c r="U69" s="686"/>
      <c r="V69" s="686"/>
      <c r="W69" s="686"/>
      <c r="X69" s="686"/>
      <c r="Y69" s="681"/>
      <c r="AF69" s="693"/>
    </row>
    <row r="70" spans="18:32" ht="9.9499999999999993" customHeight="1">
      <c r="R70" s="681"/>
      <c r="S70" s="685" t="s">
        <v>64</v>
      </c>
      <c r="T70" s="686">
        <f ca="1">'Cash Flow'!H29</f>
        <v>-305000</v>
      </c>
      <c r="U70" s="686">
        <f>'Cash Flow'!I29</f>
        <v>0</v>
      </c>
      <c r="V70" s="686">
        <f>'Cash Flow'!J29</f>
        <v>0</v>
      </c>
      <c r="W70" s="686">
        <f>'Cash Flow'!K29</f>
        <v>0</v>
      </c>
      <c r="X70" s="686">
        <f>'Cash Flow'!L29</f>
        <v>0</v>
      </c>
      <c r="Y70" s="681"/>
      <c r="AF70" s="693"/>
    </row>
    <row r="71" spans="18:32" ht="9.9499999999999993" customHeight="1">
      <c r="R71" s="681"/>
      <c r="S71" s="685" t="s">
        <v>132</v>
      </c>
      <c r="T71" s="686">
        <f>'Cash Flow'!H31</f>
        <v>-23000</v>
      </c>
      <c r="U71" s="686">
        <f>'Cash Flow'!I31</f>
        <v>0</v>
      </c>
      <c r="V71" s="686">
        <f>'Cash Flow'!J31</f>
        <v>0</v>
      </c>
      <c r="W71" s="686">
        <f>'Cash Flow'!K31</f>
        <v>0</v>
      </c>
      <c r="X71" s="686">
        <f>'Cash Flow'!L31</f>
        <v>0</v>
      </c>
      <c r="Y71" s="681"/>
      <c r="AF71" s="693"/>
    </row>
    <row r="72" spans="18:32" ht="9.9499999999999993" customHeight="1">
      <c r="R72" s="681"/>
      <c r="S72" s="684" t="s">
        <v>66</v>
      </c>
      <c r="T72" s="688">
        <f ca="1">SUM(T70:T71)</f>
        <v>-328000</v>
      </c>
      <c r="U72" s="688">
        <f t="shared" ref="U72:X72" si="8">SUM(U70:U71)</f>
        <v>0</v>
      </c>
      <c r="V72" s="688">
        <f t="shared" si="8"/>
        <v>0</v>
      </c>
      <c r="W72" s="688">
        <f t="shared" si="8"/>
        <v>0</v>
      </c>
      <c r="X72" s="688">
        <f t="shared" si="8"/>
        <v>0</v>
      </c>
      <c r="Y72" s="681"/>
      <c r="AF72" s="693"/>
    </row>
    <row r="73" spans="18:32" ht="9.9499999999999993" customHeight="1">
      <c r="R73" s="681"/>
      <c r="S73" s="682"/>
      <c r="T73" s="686"/>
      <c r="U73" s="686"/>
      <c r="V73" s="686"/>
      <c r="W73" s="686"/>
      <c r="X73" s="686"/>
      <c r="Y73" s="681"/>
      <c r="AF73" s="693"/>
    </row>
    <row r="74" spans="18:32" ht="9.9499999999999993" customHeight="1">
      <c r="R74" s="681"/>
      <c r="S74" s="684" t="s">
        <v>67</v>
      </c>
      <c r="T74" s="686"/>
      <c r="U74" s="686"/>
      <c r="V74" s="686"/>
      <c r="W74" s="686"/>
      <c r="X74" s="686"/>
      <c r="Y74" s="681"/>
      <c r="AF74" s="693"/>
    </row>
    <row r="75" spans="18:32" ht="9.9499999999999993" customHeight="1">
      <c r="R75" s="681"/>
      <c r="S75" s="685" t="s">
        <v>364</v>
      </c>
      <c r="T75" s="686">
        <f>'Cash Flow'!H35</f>
        <v>927.44599999999991</v>
      </c>
      <c r="U75" s="686">
        <f>'Cash Flow'!I35</f>
        <v>953.41448800000001</v>
      </c>
      <c r="V75" s="686">
        <f>'Cash Flow'!J35</f>
        <v>980.11009366400003</v>
      </c>
      <c r="W75" s="686">
        <f>'Cash Flow'!K35</f>
        <v>1007.553176286592</v>
      </c>
      <c r="X75" s="686">
        <f>'Cash Flow'!L35</f>
        <v>1035.7646652226165</v>
      </c>
      <c r="Y75" s="681"/>
      <c r="AF75" s="693"/>
    </row>
    <row r="76" spans="18:32" ht="9.9499999999999993" customHeight="1">
      <c r="R76" s="681"/>
      <c r="S76" s="685" t="s">
        <v>365</v>
      </c>
      <c r="T76" s="686">
        <f>'Cash Flow'!H36</f>
        <v>1854.8919999999998</v>
      </c>
      <c r="U76" s="686">
        <f>'Cash Flow'!I36</f>
        <v>1906.828976</v>
      </c>
      <c r="V76" s="686">
        <f>'Cash Flow'!J36</f>
        <v>1960.2201873280001</v>
      </c>
      <c r="W76" s="686">
        <f>'Cash Flow'!K36</f>
        <v>2015.106352573184</v>
      </c>
      <c r="X76" s="686">
        <f>'Cash Flow'!L36</f>
        <v>2071.529330445233</v>
      </c>
      <c r="Y76" s="681"/>
      <c r="AF76" s="693"/>
    </row>
    <row r="77" spans="18:32" ht="9.9499999999999993" customHeight="1">
      <c r="R77" s="681"/>
      <c r="S77" s="685" t="s">
        <v>70</v>
      </c>
      <c r="T77" s="686">
        <f>'Cash Flow'!H39</f>
        <v>345650</v>
      </c>
      <c r="U77" s="686">
        <f>'Cash Flow'!I39</f>
        <v>0</v>
      </c>
      <c r="V77" s="686">
        <f>'Cash Flow'!J39</f>
        <v>0</v>
      </c>
      <c r="W77" s="686">
        <f>'Cash Flow'!K39</f>
        <v>0</v>
      </c>
      <c r="X77" s="686">
        <f>'Cash Flow'!L39</f>
        <v>0</v>
      </c>
      <c r="Y77" s="681"/>
      <c r="AF77" s="693"/>
    </row>
    <row r="78" spans="18:32" ht="9.9499999999999993" customHeight="1">
      <c r="R78" s="681"/>
      <c r="S78" s="684" t="s">
        <v>73</v>
      </c>
      <c r="T78" s="688">
        <f>SUM(T75:T77)</f>
        <v>348432.33799999999</v>
      </c>
      <c r="U78" s="688">
        <f t="shared" ref="U78:X78" si="9">SUM(U75:U77)</f>
        <v>2860.2434640000001</v>
      </c>
      <c r="V78" s="688">
        <f t="shared" si="9"/>
        <v>2940.3302809920001</v>
      </c>
      <c r="W78" s="688">
        <f t="shared" si="9"/>
        <v>3022.6595288597759</v>
      </c>
      <c r="X78" s="688">
        <f t="shared" si="9"/>
        <v>3107.2939956678492</v>
      </c>
      <c r="Y78" s="681"/>
      <c r="AF78" s="693"/>
    </row>
    <row r="79" spans="18:32" ht="9.9499999999999993" customHeight="1">
      <c r="R79" s="681"/>
      <c r="S79" s="684"/>
      <c r="T79" s="689"/>
      <c r="U79" s="689"/>
      <c r="V79" s="689"/>
      <c r="W79" s="689"/>
      <c r="X79" s="689"/>
      <c r="Y79" s="681"/>
      <c r="AF79" s="693"/>
    </row>
    <row r="80" spans="18:32" ht="9.9499999999999993" customHeight="1">
      <c r="R80" s="681"/>
      <c r="S80" s="684"/>
      <c r="T80" s="689"/>
      <c r="U80" s="689"/>
      <c r="V80" s="689"/>
      <c r="W80" s="689"/>
      <c r="X80" s="689"/>
      <c r="Y80" s="681"/>
      <c r="AF80" s="693"/>
    </row>
    <row r="81" spans="18:32" ht="9.9499999999999993" customHeight="1">
      <c r="R81" s="681"/>
      <c r="S81" s="682"/>
      <c r="T81" s="686"/>
      <c r="U81" s="686"/>
      <c r="V81" s="686"/>
      <c r="W81" s="686"/>
      <c r="X81" s="686"/>
      <c r="Y81" s="681"/>
      <c r="AF81" s="693"/>
    </row>
    <row r="82" spans="18:32" ht="9.9499999999999993" customHeight="1">
      <c r="R82" s="681"/>
      <c r="S82" s="684" t="s">
        <v>74</v>
      </c>
      <c r="T82" s="690">
        <f ca="1">T67+T72+T78</f>
        <v>17547.398400000005</v>
      </c>
      <c r="U82" s="690">
        <f t="shared" ref="U82:X82" ca="1" si="10">U67+U72+U78</f>
        <v>18569.2650072</v>
      </c>
      <c r="V82" s="690">
        <f t="shared" ca="1" si="10"/>
        <v>19324.678000461594</v>
      </c>
      <c r="W82" s="690">
        <f t="shared" ca="1" si="10"/>
        <v>20117.122655663821</v>
      </c>
      <c r="X82" s="690">
        <f t="shared" ca="1" si="10"/>
        <v>20948.114900058328</v>
      </c>
      <c r="Y82" s="681"/>
      <c r="AF82" s="693"/>
    </row>
    <row r="83" spans="18:32" ht="9.9499999999999993" customHeight="1">
      <c r="R83" s="681"/>
      <c r="S83" s="687" t="s">
        <v>75</v>
      </c>
      <c r="T83" s="690">
        <v>0</v>
      </c>
      <c r="U83" s="690">
        <f t="shared" ref="U83:X83" ca="1" si="11">T84</f>
        <v>17547.398400000005</v>
      </c>
      <c r="V83" s="690">
        <f t="shared" ca="1" si="11"/>
        <v>36116.663407200002</v>
      </c>
      <c r="W83" s="690">
        <f t="shared" ca="1" si="11"/>
        <v>55441.341407661595</v>
      </c>
      <c r="X83" s="690">
        <f t="shared" ca="1" si="11"/>
        <v>75558.464063325417</v>
      </c>
      <c r="Y83" s="681"/>
      <c r="AF83" s="693"/>
    </row>
    <row r="84" spans="18:32" ht="9.9499999999999993" customHeight="1" thickBot="1">
      <c r="R84" s="681"/>
      <c r="S84" s="687" t="s">
        <v>76</v>
      </c>
      <c r="T84" s="686">
        <f ca="1">SUM(T82:T83)</f>
        <v>17547.398400000005</v>
      </c>
      <c r="U84" s="686">
        <f t="shared" ref="U84:X84" ca="1" si="12">SUM(U82:U83)</f>
        <v>36116.663407200002</v>
      </c>
      <c r="V84" s="686">
        <f t="shared" ca="1" si="12"/>
        <v>55441.341407661595</v>
      </c>
      <c r="W84" s="686">
        <f t="shared" ca="1" si="12"/>
        <v>75558.464063325417</v>
      </c>
      <c r="X84" s="686">
        <f t="shared" ca="1" si="12"/>
        <v>96506.578963383741</v>
      </c>
      <c r="Y84" s="681"/>
      <c r="AF84" s="693"/>
    </row>
    <row r="85" spans="18:32" ht="9.9499999999999993" customHeight="1" thickTop="1">
      <c r="R85" s="681"/>
      <c r="S85" s="681"/>
      <c r="T85" s="691"/>
      <c r="U85" s="691"/>
      <c r="V85" s="691"/>
      <c r="W85" s="691"/>
      <c r="X85" s="691"/>
      <c r="Y85" s="681"/>
      <c r="AF85" s="693"/>
    </row>
    <row r="87" spans="18:32" ht="9.9499999999999993" customHeight="1">
      <c r="Y87" s="694"/>
      <c r="Z87" s="694"/>
      <c r="AA87" s="694"/>
      <c r="AB87" s="694"/>
      <c r="AC87" s="694"/>
      <c r="AD87" s="694"/>
      <c r="AE87" s="694"/>
      <c r="AF87" s="694"/>
    </row>
    <row r="88" spans="18:32" ht="9.9499999999999993" customHeight="1">
      <c r="Y88" s="694"/>
      <c r="Z88" s="695"/>
      <c r="AA88" s="696" t="s">
        <v>20</v>
      </c>
      <c r="AB88" s="696" t="s">
        <v>21</v>
      </c>
      <c r="AC88" s="696" t="s">
        <v>22</v>
      </c>
      <c r="AD88" s="696" t="s">
        <v>23</v>
      </c>
      <c r="AE88" s="696" t="s">
        <v>24</v>
      </c>
      <c r="AF88" s="694"/>
    </row>
    <row r="89" spans="18:32" ht="9.9499999999999993" customHeight="1">
      <c r="Y89" s="694"/>
      <c r="Z89" s="695"/>
      <c r="AA89" s="696" t="s">
        <v>25</v>
      </c>
      <c r="AB89" s="696" t="s">
        <v>25</v>
      </c>
      <c r="AC89" s="696" t="s">
        <v>25</v>
      </c>
      <c r="AD89" s="696" t="s">
        <v>25</v>
      </c>
      <c r="AE89" s="696" t="s">
        <v>25</v>
      </c>
      <c r="AF89" s="694"/>
    </row>
    <row r="90" spans="18:32" ht="9.9499999999999993" customHeight="1">
      <c r="Y90" s="694"/>
      <c r="Z90" s="697" t="s">
        <v>333</v>
      </c>
      <c r="AA90" s="698">
        <f>'Balance Sheet'!H4</f>
        <v>305000</v>
      </c>
      <c r="AB90" s="698">
        <f ca="1">'Balance Sheet'!I4</f>
        <v>309458.33333333331</v>
      </c>
      <c r="AC90" s="698">
        <f ca="1">'Balance Sheet'!J4</f>
        <v>314107.29166666663</v>
      </c>
      <c r="AD90" s="698">
        <f ca="1">'Balance Sheet'!K4</f>
        <v>318951.64062499994</v>
      </c>
      <c r="AE90" s="698">
        <f ca="1">'Balance Sheet'!L4</f>
        <v>323996.2649739582</v>
      </c>
      <c r="AF90" s="694"/>
    </row>
    <row r="91" spans="18:32" ht="9.9499999999999993" customHeight="1">
      <c r="Y91" s="694"/>
      <c r="Z91" s="699" t="s">
        <v>8</v>
      </c>
      <c r="AA91" s="700">
        <f ca="1">'Balance Sheet'!H5</f>
        <v>300000</v>
      </c>
      <c r="AB91" s="700">
        <f ca="1">'Balance Sheet'!I5</f>
        <v>297000</v>
      </c>
      <c r="AC91" s="700">
        <f ca="1">'Balance Sheet'!J5</f>
        <v>294000</v>
      </c>
      <c r="AD91" s="700">
        <f ca="1">'Balance Sheet'!K5</f>
        <v>291000</v>
      </c>
      <c r="AE91" s="700">
        <f ca="1">'Balance Sheet'!L5</f>
        <v>288000</v>
      </c>
      <c r="AF91" s="694"/>
    </row>
    <row r="92" spans="18:32" ht="9.9499999999999993" customHeight="1">
      <c r="Y92" s="694"/>
      <c r="Z92" s="701" t="s">
        <v>334</v>
      </c>
      <c r="AA92" s="702">
        <f ca="1">'Balance Sheet'!H6</f>
        <v>-3000</v>
      </c>
      <c r="AB92" s="702">
        <f ca="1">'Balance Sheet'!I6</f>
        <v>-3000</v>
      </c>
      <c r="AC92" s="702">
        <f ca="1">'Balance Sheet'!J6</f>
        <v>-3000</v>
      </c>
      <c r="AD92" s="702">
        <f ca="1">'Balance Sheet'!K6</f>
        <v>-3000</v>
      </c>
      <c r="AE92" s="702">
        <f ca="1">'Balance Sheet'!L6</f>
        <v>-3000</v>
      </c>
      <c r="AF92" s="694"/>
    </row>
    <row r="93" spans="18:32" ht="9.9499999999999993" customHeight="1">
      <c r="Y93" s="694"/>
      <c r="Z93" s="699" t="s">
        <v>335</v>
      </c>
      <c r="AA93" s="703">
        <f ca="1">'Balance Sheet'!H7</f>
        <v>297000</v>
      </c>
      <c r="AB93" s="703">
        <f ca="1">'Balance Sheet'!I7</f>
        <v>294000</v>
      </c>
      <c r="AC93" s="703">
        <f ca="1">'Balance Sheet'!J7</f>
        <v>291000</v>
      </c>
      <c r="AD93" s="703">
        <f ca="1">'Balance Sheet'!K7</f>
        <v>288000</v>
      </c>
      <c r="AE93" s="703">
        <f ca="1">'Balance Sheet'!L7</f>
        <v>285000</v>
      </c>
      <c r="AF93" s="694"/>
    </row>
    <row r="94" spans="18:32" ht="9.9499999999999993" customHeight="1">
      <c r="Y94" s="694"/>
      <c r="Z94" s="699" t="s">
        <v>10</v>
      </c>
      <c r="AA94" s="704">
        <f>'Balance Sheet'!H8</f>
        <v>5000</v>
      </c>
      <c r="AB94" s="704">
        <f ca="1">'Balance Sheet'!I8</f>
        <v>4833.333333333333</v>
      </c>
      <c r="AC94" s="704">
        <f ca="1">'Balance Sheet'!J8</f>
        <v>4666.6666666666661</v>
      </c>
      <c r="AD94" s="704">
        <f ca="1">'Balance Sheet'!K8</f>
        <v>4499.9999999999991</v>
      </c>
      <c r="AE94" s="704">
        <f ca="1">'Balance Sheet'!L8</f>
        <v>4333.3333333333321</v>
      </c>
      <c r="AF94" s="694"/>
    </row>
    <row r="95" spans="18:32" ht="9.9499999999999993" customHeight="1">
      <c r="Y95" s="694"/>
      <c r="Z95" s="701" t="s">
        <v>336</v>
      </c>
      <c r="AA95" s="702">
        <f ca="1">'Balance Sheet'!H9</f>
        <v>-166.66666666666666</v>
      </c>
      <c r="AB95" s="702">
        <f ca="1">'Balance Sheet'!I9</f>
        <v>-166.66666666666666</v>
      </c>
      <c r="AC95" s="702">
        <f ca="1">'Balance Sheet'!J9</f>
        <v>-166.66666666666666</v>
      </c>
      <c r="AD95" s="702">
        <f ca="1">'Balance Sheet'!K9</f>
        <v>-166.66666666666666</v>
      </c>
      <c r="AE95" s="702">
        <f ca="1">'Balance Sheet'!L9</f>
        <v>-166.66666666666666</v>
      </c>
      <c r="AF95" s="694"/>
    </row>
    <row r="96" spans="18:32" ht="9.9499999999999993" customHeight="1">
      <c r="Y96" s="694"/>
      <c r="Z96" s="699" t="s">
        <v>337</v>
      </c>
      <c r="AA96" s="703">
        <f ca="1">'Balance Sheet'!H10</f>
        <v>4833.333333333333</v>
      </c>
      <c r="AB96" s="703">
        <f ca="1">'Balance Sheet'!I10</f>
        <v>4666.6666666666661</v>
      </c>
      <c r="AC96" s="703">
        <f ca="1">'Balance Sheet'!J10</f>
        <v>4499.9999999999991</v>
      </c>
      <c r="AD96" s="703">
        <f ca="1">'Balance Sheet'!K10</f>
        <v>4333.3333333333321</v>
      </c>
      <c r="AE96" s="703">
        <f ca="1">'Balance Sheet'!L10</f>
        <v>4166.6666666666652</v>
      </c>
      <c r="AF96" s="694"/>
    </row>
    <row r="97" spans="25:32" ht="9.9499999999999993" customHeight="1">
      <c r="Y97" s="694"/>
      <c r="Z97" s="701" t="s">
        <v>254</v>
      </c>
      <c r="AA97" s="705">
        <f>'Balance Sheet'!H15</f>
        <v>7625</v>
      </c>
      <c r="AB97" s="705">
        <f>'Balance Sheet'!I15</f>
        <v>7815.625</v>
      </c>
      <c r="AC97" s="705">
        <f>'Balance Sheet'!J15</f>
        <v>8011.015625</v>
      </c>
      <c r="AD97" s="705">
        <f>'Balance Sheet'!K15</f>
        <v>8211.2910156249418</v>
      </c>
      <c r="AE97" s="705">
        <f>'Balance Sheet'!L15</f>
        <v>8416.5732910155784</v>
      </c>
      <c r="AF97" s="694"/>
    </row>
    <row r="98" spans="25:32" ht="9.9499999999999993" customHeight="1">
      <c r="Y98" s="694"/>
      <c r="Z98" s="706" t="s">
        <v>338</v>
      </c>
      <c r="AA98" s="707">
        <f ca="1">'Balance Sheet'!H16</f>
        <v>4458.3333333333339</v>
      </c>
      <c r="AB98" s="707">
        <f ca="1">'Balance Sheet'!I16</f>
        <v>4648.9583333333339</v>
      </c>
      <c r="AC98" s="707">
        <f ca="1">'Balance Sheet'!J16</f>
        <v>4844.3489583333339</v>
      </c>
      <c r="AD98" s="707">
        <f ca="1">'Balance Sheet'!K16</f>
        <v>5044.6243489582757</v>
      </c>
      <c r="AE98" s="707">
        <f ca="1">'Balance Sheet'!L16</f>
        <v>5249.9066243489124</v>
      </c>
      <c r="AF98" s="694"/>
    </row>
    <row r="99" spans="25:32" ht="9.9499999999999993" customHeight="1">
      <c r="Y99" s="694"/>
      <c r="Z99" s="697" t="s">
        <v>339</v>
      </c>
      <c r="AA99" s="708">
        <f ca="1">'Balance Sheet'!H17</f>
        <v>309458.33333333331</v>
      </c>
      <c r="AB99" s="708">
        <f ca="1">'Balance Sheet'!I17</f>
        <v>314107.29166666663</v>
      </c>
      <c r="AC99" s="708">
        <f ca="1">'Balance Sheet'!J17</f>
        <v>318951.64062499994</v>
      </c>
      <c r="AD99" s="708">
        <f ca="1">'Balance Sheet'!K17</f>
        <v>323996.2649739582</v>
      </c>
      <c r="AE99" s="708">
        <f ca="1">'Balance Sheet'!L17</f>
        <v>329246.17159830709</v>
      </c>
      <c r="AF99" s="694"/>
    </row>
    <row r="100" spans="25:32" ht="9.9499999999999993" customHeight="1">
      <c r="Y100" s="694"/>
      <c r="Z100" s="695"/>
      <c r="AA100" s="709"/>
      <c r="AB100" s="709"/>
      <c r="AC100" s="709"/>
      <c r="AD100" s="709"/>
      <c r="AE100" s="709"/>
      <c r="AF100" s="694"/>
    </row>
    <row r="101" spans="25:32" ht="9.9499999999999993" customHeight="1">
      <c r="Y101" s="694"/>
      <c r="Z101" s="710" t="s">
        <v>78</v>
      </c>
      <c r="AA101" s="709"/>
      <c r="AB101" s="709"/>
      <c r="AC101" s="709"/>
      <c r="AD101" s="709"/>
      <c r="AE101" s="709"/>
      <c r="AF101" s="694"/>
    </row>
    <row r="102" spans="25:32" ht="9.9499999999999993" customHeight="1">
      <c r="Y102" s="694"/>
      <c r="Z102" s="711" t="s">
        <v>79</v>
      </c>
      <c r="AA102" s="709">
        <f ca="1">'Balance Sheet'!H20</f>
        <v>17547.398399999998</v>
      </c>
      <c r="AB102" s="709">
        <f ca="1">'Balance Sheet'!I20</f>
        <v>25747.163407199994</v>
      </c>
      <c r="AC102" s="709">
        <f ca="1">'Balance Sheet'!J20</f>
        <v>34702.341407661588</v>
      </c>
      <c r="AD102" s="709">
        <f ca="1">'Balance Sheet'!K20</f>
        <v>44449.964063325409</v>
      </c>
      <c r="AE102" s="709">
        <f ca="1">'Balance Sheet'!L20</f>
        <v>54680.426694882895</v>
      </c>
      <c r="AF102" s="694"/>
    </row>
    <row r="103" spans="25:32" ht="9.9499999999999993" customHeight="1">
      <c r="Y103" s="694"/>
      <c r="Z103" s="710" t="s">
        <v>84</v>
      </c>
      <c r="AA103" s="712">
        <f ca="1">'Balance Sheet'!H25</f>
        <v>17547.398399999998</v>
      </c>
      <c r="AB103" s="712">
        <f ca="1">'Balance Sheet'!I25</f>
        <v>25747.163407199994</v>
      </c>
      <c r="AC103" s="712">
        <f ca="1">'Balance Sheet'!J25</f>
        <v>34702.341407661588</v>
      </c>
      <c r="AD103" s="712">
        <f ca="1">'Balance Sheet'!K25</f>
        <v>44449.964063325409</v>
      </c>
      <c r="AE103" s="712">
        <f ca="1">'Balance Sheet'!L25</f>
        <v>54680.426694882895</v>
      </c>
      <c r="AF103" s="694"/>
    </row>
    <row r="104" spans="25:32" ht="9.9499999999999993" customHeight="1">
      <c r="Y104" s="694"/>
      <c r="Z104" s="695"/>
      <c r="AA104" s="709"/>
      <c r="AB104" s="709"/>
      <c r="AC104" s="709"/>
      <c r="AD104" s="709"/>
      <c r="AE104" s="709"/>
      <c r="AF104" s="694"/>
    </row>
    <row r="105" spans="25:32" ht="9.9499999999999993" customHeight="1">
      <c r="Y105" s="694"/>
      <c r="Z105" s="710" t="s">
        <v>85</v>
      </c>
      <c r="AA105" s="709"/>
      <c r="AB105" s="709"/>
      <c r="AC105" s="709"/>
      <c r="AD105" s="709"/>
      <c r="AE105" s="709"/>
      <c r="AF105" s="694"/>
    </row>
    <row r="106" spans="25:32" ht="9.9499999999999993" customHeight="1">
      <c r="Y106" s="694"/>
      <c r="Z106" s="713" t="s">
        <v>89</v>
      </c>
      <c r="AA106" s="709">
        <f>'Balance Sheet'!H31</f>
        <v>-10369.5</v>
      </c>
      <c r="AB106" s="709">
        <f>'Balance Sheet'!I31</f>
        <v>-10369.5</v>
      </c>
      <c r="AC106" s="709">
        <f>'Balance Sheet'!J31</f>
        <v>-10369.5</v>
      </c>
      <c r="AD106" s="709">
        <f>'Balance Sheet'!K31</f>
        <v>-10369.5</v>
      </c>
      <c r="AE106" s="709">
        <f>'Balance Sheet'!L31</f>
        <v>-10369.5</v>
      </c>
      <c r="AF106" s="694"/>
    </row>
    <row r="107" spans="25:32" ht="9.9499999999999993" customHeight="1">
      <c r="Y107" s="694"/>
      <c r="Z107" s="710" t="s">
        <v>95</v>
      </c>
      <c r="AA107" s="714">
        <f ca="1">'Balance Sheet'!H37</f>
        <v>-10369.5</v>
      </c>
      <c r="AB107" s="714">
        <f ca="1">'Balance Sheet'!I37</f>
        <v>-10369.5</v>
      </c>
      <c r="AC107" s="714">
        <f ca="1">'Balance Sheet'!J37</f>
        <v>-10369.5</v>
      </c>
      <c r="AD107" s="714">
        <f ca="1">'Balance Sheet'!K37</f>
        <v>-10369.5</v>
      </c>
      <c r="AE107" s="714">
        <f ca="1">'Balance Sheet'!L37</f>
        <v>-10717.652268500849</v>
      </c>
      <c r="AF107" s="694"/>
    </row>
    <row r="108" spans="25:32" ht="9.9499999999999993" customHeight="1">
      <c r="Y108" s="694"/>
      <c r="Z108" s="695"/>
      <c r="AA108" s="709"/>
      <c r="AB108" s="709"/>
      <c r="AC108" s="709"/>
      <c r="AD108" s="709"/>
      <c r="AE108" s="709"/>
      <c r="AF108" s="694"/>
    </row>
    <row r="109" spans="25:32" ht="9.9499999999999993" customHeight="1">
      <c r="Y109" s="694"/>
      <c r="Z109" s="710" t="s">
        <v>96</v>
      </c>
      <c r="AA109" s="714">
        <f ca="1">'Balance Sheet'!H39</f>
        <v>7177.8983999999982</v>
      </c>
      <c r="AB109" s="714">
        <f ca="1">'Balance Sheet'!I39</f>
        <v>15377.663407199994</v>
      </c>
      <c r="AC109" s="714">
        <f ca="1">'Balance Sheet'!J39</f>
        <v>24332.841407661588</v>
      </c>
      <c r="AD109" s="714">
        <f ca="1">'Balance Sheet'!K39</f>
        <v>34080.464063325409</v>
      </c>
      <c r="AE109" s="714">
        <f ca="1">'Balance Sheet'!L39</f>
        <v>43962.77442638205</v>
      </c>
      <c r="AF109" s="694"/>
    </row>
    <row r="110" spans="25:32" ht="9.9499999999999993" customHeight="1">
      <c r="Y110" s="694"/>
      <c r="Z110" s="695"/>
      <c r="AA110" s="709"/>
      <c r="AB110" s="709"/>
      <c r="AC110" s="709"/>
      <c r="AD110" s="709"/>
      <c r="AE110" s="709"/>
      <c r="AF110" s="694"/>
    </row>
    <row r="111" spans="25:32" ht="9.9499999999999993" customHeight="1">
      <c r="Y111" s="694"/>
      <c r="Z111" s="695"/>
      <c r="AA111" s="709"/>
      <c r="AB111" s="709"/>
      <c r="AC111" s="709"/>
      <c r="AD111" s="709"/>
      <c r="AE111" s="709"/>
      <c r="AF111" s="694"/>
    </row>
    <row r="112" spans="25:32" ht="9.9499999999999993" customHeight="1" thickBot="1">
      <c r="Y112" s="694"/>
      <c r="Z112" s="710" t="s">
        <v>101</v>
      </c>
      <c r="AA112" s="714">
        <f ca="1">'Balance Sheet'!H46</f>
        <v>316636.23173333326</v>
      </c>
      <c r="AB112" s="714">
        <f ca="1">'Balance Sheet'!I46</f>
        <v>329484.95507386664</v>
      </c>
      <c r="AC112" s="714">
        <f ca="1">'Balance Sheet'!J46</f>
        <v>343284.48203266156</v>
      </c>
      <c r="AD112" s="714">
        <f ca="1">'Balance Sheet'!K46</f>
        <v>358076.72903728363</v>
      </c>
      <c r="AE112" s="714">
        <f ca="1">'Balance Sheet'!L46</f>
        <v>373208.94602468912</v>
      </c>
      <c r="AF112" s="694"/>
    </row>
    <row r="113" spans="25:32" ht="9.9499999999999993" customHeight="1" thickTop="1">
      <c r="Y113" s="694"/>
      <c r="Z113" s="713" t="s">
        <v>102</v>
      </c>
      <c r="AA113" s="715"/>
      <c r="AB113" s="715"/>
      <c r="AC113" s="715"/>
      <c r="AD113" s="715"/>
      <c r="AE113" s="715"/>
      <c r="AF113" s="694"/>
    </row>
    <row r="114" spans="25:32" ht="9.9499999999999993" customHeight="1">
      <c r="Y114" s="694"/>
      <c r="Z114" s="713" t="s">
        <v>103</v>
      </c>
      <c r="AA114" s="709">
        <f ca="1">'Balance Sheet'!H48</f>
        <v>-2884.9395999999997</v>
      </c>
      <c r="AB114" s="709">
        <f ca="1">'Balance Sheet'!I48</f>
        <v>2454.5819432000008</v>
      </c>
      <c r="AC114" s="709">
        <f ca="1">'Balance Sheet'!J48</f>
        <v>8469.4296626695959</v>
      </c>
      <c r="AD114" s="709">
        <f ca="1">'Balance Sheet'!K48</f>
        <v>15194.392789473643</v>
      </c>
      <c r="AE114" s="709">
        <f ca="1">'Balance Sheet'!L48</f>
        <v>22317.561425363274</v>
      </c>
      <c r="AF114" s="694"/>
    </row>
    <row r="115" spans="25:32" ht="9.9499999999999993" customHeight="1" thickBot="1">
      <c r="Y115" s="694"/>
      <c r="Z115" s="713" t="s">
        <v>32</v>
      </c>
      <c r="AA115" s="709">
        <f>'Balance Sheet'!H49</f>
        <v>345650</v>
      </c>
      <c r="AB115" s="709">
        <f>'Balance Sheet'!I49</f>
        <v>345650</v>
      </c>
      <c r="AC115" s="709">
        <f>'Balance Sheet'!J49</f>
        <v>345650</v>
      </c>
      <c r="AD115" s="709">
        <f>'Balance Sheet'!K49</f>
        <v>345650</v>
      </c>
      <c r="AE115" s="709">
        <f>'Balance Sheet'!L49</f>
        <v>345650</v>
      </c>
      <c r="AF115" s="694"/>
    </row>
    <row r="116" spans="25:32" ht="9.9499999999999993" customHeight="1" thickTop="1">
      <c r="Y116" s="694"/>
      <c r="Z116" s="694"/>
      <c r="AA116" s="716"/>
      <c r="AB116" s="716"/>
      <c r="AC116" s="716"/>
      <c r="AD116" s="716"/>
      <c r="AE116" s="716"/>
      <c r="AF116" s="69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9"/>
  <sheetViews>
    <sheetView workbookViewId="0">
      <selection activeCell="D23" sqref="D23"/>
    </sheetView>
  </sheetViews>
  <sheetFormatPr defaultColWidth="12.7109375" defaultRowHeight="15.75" customHeight="1"/>
  <cols>
    <col min="1" max="1" width="2.28515625" customWidth="1"/>
    <col min="2" max="2" width="22.140625" bestFit="1" customWidth="1"/>
    <col min="3" max="3" width="12.7109375" style="472"/>
    <col min="4" max="4" width="12.7109375" style="475"/>
  </cols>
  <sheetData>
    <row r="1" spans="1:6" ht="15.75" customHeight="1">
      <c r="A1" s="20"/>
      <c r="B1" s="20"/>
      <c r="C1" s="470" t="s">
        <v>104</v>
      </c>
      <c r="D1" s="473" t="s">
        <v>105</v>
      </c>
      <c r="E1" s="20" t="s">
        <v>106</v>
      </c>
      <c r="F1" s="21">
        <f>'Financial Model'!E23/52</f>
        <v>356.71</v>
      </c>
    </row>
    <row r="2" spans="1:6" ht="15.75" customHeight="1">
      <c r="A2" s="20"/>
      <c r="B2" s="20" t="s">
        <v>107</v>
      </c>
      <c r="C2" s="471"/>
      <c r="D2" s="474"/>
      <c r="E2" s="20"/>
      <c r="F2" s="20"/>
    </row>
    <row r="3" spans="1:6" ht="15.75" customHeight="1">
      <c r="A3" s="20"/>
      <c r="B3" s="20" t="s">
        <v>229</v>
      </c>
      <c r="C3" s="471">
        <f>'Financial Model'!I23/52</f>
        <v>46.372299999999996</v>
      </c>
      <c r="D3" s="474">
        <f>C3/$F$1</f>
        <v>0.13</v>
      </c>
      <c r="E3" s="20"/>
      <c r="F3" s="20"/>
    </row>
    <row r="4" spans="1:6" ht="15.75" customHeight="1">
      <c r="A4" s="20"/>
      <c r="B4" s="20" t="s">
        <v>108</v>
      </c>
      <c r="C4" s="471"/>
      <c r="D4" s="474"/>
      <c r="E4" s="20"/>
      <c r="F4" s="20"/>
    </row>
    <row r="5" spans="1:6" ht="15.75" customHeight="1">
      <c r="A5" s="20"/>
      <c r="B5" s="20" t="s">
        <v>109</v>
      </c>
      <c r="C5" s="471"/>
      <c r="D5" s="474"/>
      <c r="E5" s="20"/>
      <c r="F5" s="20"/>
    </row>
    <row r="6" spans="1:6" ht="15.75" customHeight="1">
      <c r="A6" s="20"/>
      <c r="B6" s="20" t="s">
        <v>110</v>
      </c>
      <c r="C6" s="471">
        <f>'Financial Model'!$E$23*'Financial Model'!$D$10/52</f>
        <v>35.670999999999999</v>
      </c>
      <c r="D6" s="474">
        <f>C6/$F$1</f>
        <v>0.1</v>
      </c>
      <c r="E6" s="20"/>
      <c r="F6" s="20"/>
    </row>
    <row r="7" spans="1:6" ht="15.75" customHeight="1">
      <c r="A7" s="20"/>
      <c r="B7" s="20" t="s">
        <v>111</v>
      </c>
      <c r="C7" s="471">
        <f>'Financial Model'!$H$23/52</f>
        <v>11.73076923076923</v>
      </c>
      <c r="D7" s="474">
        <f>C7/$F$1</f>
        <v>3.288601169232494E-2</v>
      </c>
      <c r="E7" s="20"/>
      <c r="F7" s="20"/>
    </row>
    <row r="8" spans="1:6" ht="15.75" customHeight="1">
      <c r="A8" s="20"/>
      <c r="B8" s="20" t="s">
        <v>112</v>
      </c>
      <c r="C8" s="471"/>
      <c r="D8" s="474"/>
      <c r="E8" s="20"/>
      <c r="F8" s="20"/>
    </row>
    <row r="9" spans="1:6" ht="15.75" customHeight="1">
      <c r="A9" s="20"/>
      <c r="B9" s="20" t="s">
        <v>113</v>
      </c>
      <c r="C9" s="471"/>
      <c r="D9" s="474"/>
      <c r="E9" s="20"/>
      <c r="F9" s="20"/>
    </row>
    <row r="10" spans="1:6" ht="15.75" customHeight="1">
      <c r="A10" s="20"/>
      <c r="B10" s="20" t="s">
        <v>114</v>
      </c>
      <c r="C10" s="471"/>
      <c r="D10" s="474"/>
      <c r="E10" s="20"/>
      <c r="F10" s="20"/>
    </row>
    <row r="11" spans="1:6" ht="15.75" customHeight="1">
      <c r="A11" s="20"/>
      <c r="B11" s="20" t="s">
        <v>115</v>
      </c>
      <c r="C11" s="471"/>
      <c r="D11" s="474"/>
      <c r="E11" s="20"/>
      <c r="F11" s="20"/>
    </row>
    <row r="12" spans="1:6" ht="15.75" customHeight="1">
      <c r="A12" s="20"/>
      <c r="B12" s="20" t="s">
        <v>116</v>
      </c>
      <c r="C12" s="471">
        <f>'Financial Model'!$L$23/52</f>
        <v>0</v>
      </c>
      <c r="D12" s="474">
        <f>C12/$F$1</f>
        <v>0</v>
      </c>
      <c r="E12" s="20"/>
      <c r="F12" s="20"/>
    </row>
    <row r="13" spans="1:6" ht="15.75" customHeight="1">
      <c r="A13" s="20"/>
      <c r="B13" s="20" t="s">
        <v>117</v>
      </c>
      <c r="C13" s="471"/>
      <c r="D13" s="474"/>
      <c r="E13" s="20"/>
      <c r="F13" s="20"/>
    </row>
    <row r="14" spans="1:6" ht="15.75" customHeight="1">
      <c r="A14" s="20"/>
      <c r="B14" s="20" t="s">
        <v>118</v>
      </c>
      <c r="C14" s="471"/>
      <c r="D14" s="474"/>
      <c r="E14" s="20"/>
      <c r="F14" s="20"/>
    </row>
    <row r="15" spans="1:6" ht="15.75" customHeight="1">
      <c r="A15" s="20"/>
      <c r="B15" s="476" t="s">
        <v>330</v>
      </c>
      <c r="C15" s="471">
        <f>'Financial Model'!B23*'Financial Model'!D16/'Financial Model'!F16/52</f>
        <v>87.980769230769226</v>
      </c>
      <c r="D15" s="474">
        <f>C15/$F$1</f>
        <v>0.24664508769243709</v>
      </c>
      <c r="E15" s="20"/>
      <c r="F15" s="20"/>
    </row>
    <row r="16" spans="1:6" ht="15.75" customHeight="1">
      <c r="A16" s="20"/>
      <c r="B16" s="20" t="s">
        <v>119</v>
      </c>
      <c r="C16" s="471"/>
      <c r="D16" s="474"/>
      <c r="E16" s="20"/>
      <c r="F16" s="20"/>
    </row>
    <row r="17" spans="1:6" ht="15.75" customHeight="1">
      <c r="A17" s="20"/>
      <c r="B17" s="20"/>
      <c r="C17" s="470"/>
      <c r="D17" s="473"/>
      <c r="E17" s="20"/>
      <c r="F17" s="20"/>
    </row>
    <row r="18" spans="1:6" ht="15.75" customHeight="1">
      <c r="A18" s="20"/>
      <c r="B18" s="20" t="s">
        <v>120</v>
      </c>
      <c r="C18" s="471">
        <f>C19-C2</f>
        <v>181.75483846153844</v>
      </c>
      <c r="D18" s="473"/>
      <c r="E18" s="20"/>
      <c r="F18" s="20"/>
    </row>
    <row r="19" spans="1:6" ht="15.75" customHeight="1">
      <c r="A19" s="20"/>
      <c r="B19" s="20" t="s">
        <v>121</v>
      </c>
      <c r="C19" s="471">
        <f>SUM(C2:C16)</f>
        <v>181.75483846153844</v>
      </c>
      <c r="D19" s="473"/>
      <c r="E19" s="20"/>
      <c r="F19" s="2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P1000"/>
  <sheetViews>
    <sheetView zoomScale="120" zoomScaleNormal="120" workbookViewId="0">
      <selection activeCell="F29" sqref="F29"/>
    </sheetView>
  </sheetViews>
  <sheetFormatPr defaultColWidth="12.7109375" defaultRowHeight="15.75" customHeight="1"/>
  <cols>
    <col min="1" max="1" width="2.28515625" customWidth="1"/>
    <col min="2" max="2" width="27.7109375" customWidth="1"/>
    <col min="3" max="42" width="10.140625" customWidth="1"/>
  </cols>
  <sheetData>
    <row r="1" spans="2:42" ht="12.75" customHeight="1"/>
    <row r="2" spans="2:42" ht="17.25" customHeight="1">
      <c r="B2" s="726" t="s">
        <v>122</v>
      </c>
      <c r="C2" s="727"/>
      <c r="D2" s="727"/>
      <c r="E2" s="727"/>
      <c r="F2" s="727"/>
      <c r="G2" s="728"/>
    </row>
    <row r="3" spans="2:42" ht="12.75" customHeight="1">
      <c r="B3" s="23" t="s">
        <v>171</v>
      </c>
      <c r="C3" s="434">
        <f>'Financial Model'!D8</f>
        <v>345650</v>
      </c>
      <c r="D3" s="729" t="s">
        <v>172</v>
      </c>
      <c r="E3" s="730"/>
      <c r="F3" s="731"/>
      <c r="G3" s="88">
        <v>0</v>
      </c>
    </row>
    <row r="4" spans="2:42" ht="12.75" customHeight="1">
      <c r="B4" s="23" t="s">
        <v>173</v>
      </c>
      <c r="C4" s="88">
        <v>0.03</v>
      </c>
      <c r="D4" s="729" t="s">
        <v>174</v>
      </c>
      <c r="E4" s="730"/>
      <c r="F4" s="731"/>
      <c r="G4" s="89">
        <v>0</v>
      </c>
    </row>
    <row r="5" spans="2:42" ht="12.75" customHeight="1">
      <c r="B5" s="38" t="s">
        <v>175</v>
      </c>
      <c r="C5" s="58" t="s">
        <v>186</v>
      </c>
      <c r="D5" s="732" t="s">
        <v>176</v>
      </c>
      <c r="E5" s="733"/>
      <c r="F5" s="734"/>
      <c r="G5" s="90">
        <v>3</v>
      </c>
    </row>
    <row r="6" spans="2:42" ht="12.75" customHeight="1"/>
    <row r="7" spans="2:42" ht="12.75" customHeight="1"/>
    <row r="8" spans="2:42" ht="12.75" customHeight="1">
      <c r="B8" s="91" t="s">
        <v>177</v>
      </c>
      <c r="C8" s="92">
        <v>1</v>
      </c>
      <c r="D8" s="92">
        <v>2</v>
      </c>
      <c r="E8" s="92">
        <v>3</v>
      </c>
      <c r="F8" s="92">
        <v>4</v>
      </c>
      <c r="G8" s="92">
        <v>5</v>
      </c>
      <c r="H8" s="92">
        <v>6</v>
      </c>
      <c r="I8" s="92">
        <v>7</v>
      </c>
      <c r="J8" s="92">
        <v>8</v>
      </c>
      <c r="K8" s="92">
        <v>9</v>
      </c>
      <c r="L8" s="92">
        <v>10</v>
      </c>
      <c r="M8" s="92">
        <v>11</v>
      </c>
      <c r="N8" s="92">
        <v>12</v>
      </c>
      <c r="O8" s="92">
        <v>13</v>
      </c>
      <c r="P8" s="92">
        <v>14</v>
      </c>
      <c r="Q8" s="92">
        <v>15</v>
      </c>
      <c r="R8" s="92">
        <v>16</v>
      </c>
      <c r="S8" s="92">
        <v>17</v>
      </c>
      <c r="T8" s="92">
        <v>18</v>
      </c>
      <c r="U8" s="92">
        <v>19</v>
      </c>
      <c r="V8" s="92">
        <v>20</v>
      </c>
      <c r="W8" s="92">
        <v>21</v>
      </c>
      <c r="X8" s="92">
        <v>22</v>
      </c>
      <c r="Y8" s="92">
        <v>23</v>
      </c>
      <c r="Z8" s="92">
        <v>24</v>
      </c>
      <c r="AA8" s="92">
        <v>25</v>
      </c>
      <c r="AB8" s="92">
        <v>26</v>
      </c>
      <c r="AC8" s="92">
        <v>27</v>
      </c>
      <c r="AD8" s="92">
        <v>28</v>
      </c>
      <c r="AE8" s="92">
        <v>29</v>
      </c>
      <c r="AF8" s="92">
        <v>30</v>
      </c>
      <c r="AG8" s="92">
        <v>31</v>
      </c>
      <c r="AH8" s="92">
        <v>32</v>
      </c>
      <c r="AI8" s="92">
        <v>33</v>
      </c>
      <c r="AJ8" s="92">
        <v>34</v>
      </c>
      <c r="AK8" s="92">
        <v>35</v>
      </c>
      <c r="AL8" s="92">
        <v>36</v>
      </c>
      <c r="AM8" s="92">
        <v>37</v>
      </c>
      <c r="AN8" s="92">
        <v>38</v>
      </c>
      <c r="AO8" s="92">
        <v>39</v>
      </c>
      <c r="AP8" s="93">
        <v>40</v>
      </c>
    </row>
    <row r="9" spans="2:42" ht="12.75" customHeight="1">
      <c r="B9" s="23" t="s">
        <v>178</v>
      </c>
      <c r="C9" s="94">
        <f>IF(C8&gt;$G$4,$C$3*$C$4,0)</f>
        <v>10369.5</v>
      </c>
      <c r="D9" s="94">
        <f t="shared" ref="D9:AP9" si="0">IF(D8&gt;$G$4,C12*$C$4,0)</f>
        <v>10369.5</v>
      </c>
      <c r="E9" s="94">
        <f t="shared" si="0"/>
        <v>10369.5</v>
      </c>
      <c r="F9" s="94">
        <f t="shared" si="0"/>
        <v>10369.5</v>
      </c>
      <c r="G9" s="94">
        <f t="shared" si="0"/>
        <v>10369.5</v>
      </c>
      <c r="H9" s="94">
        <f t="shared" si="0"/>
        <v>10369.5</v>
      </c>
      <c r="I9" s="94">
        <f t="shared" si="0"/>
        <v>10369.5</v>
      </c>
      <c r="J9" s="94">
        <f t="shared" si="0"/>
        <v>10369.5</v>
      </c>
      <c r="K9" s="94">
        <f t="shared" si="0"/>
        <v>10369.5</v>
      </c>
      <c r="L9" s="94">
        <f t="shared" si="0"/>
        <v>10369.5</v>
      </c>
      <c r="M9" s="94">
        <f t="shared" si="0"/>
        <v>10369.5</v>
      </c>
      <c r="N9" s="94">
        <f t="shared" si="0"/>
        <v>10369.5</v>
      </c>
      <c r="O9" s="94">
        <f t="shared" si="0"/>
        <v>10369.5</v>
      </c>
      <c r="P9" s="94">
        <f t="shared" si="0"/>
        <v>10369.5</v>
      </c>
      <c r="Q9" s="94">
        <f t="shared" si="0"/>
        <v>10369.5</v>
      </c>
      <c r="R9" s="94">
        <f t="shared" si="0"/>
        <v>10369.5</v>
      </c>
      <c r="S9" s="94">
        <f t="shared" si="0"/>
        <v>10369.5</v>
      </c>
      <c r="T9" s="94">
        <f t="shared" si="0"/>
        <v>10369.5</v>
      </c>
      <c r="U9" s="94">
        <f t="shared" si="0"/>
        <v>10369.5</v>
      </c>
      <c r="V9" s="94">
        <f t="shared" si="0"/>
        <v>10369.5</v>
      </c>
      <c r="W9" s="94">
        <f t="shared" si="0"/>
        <v>10369.5</v>
      </c>
      <c r="X9" s="94">
        <f t="shared" si="0"/>
        <v>10369.5</v>
      </c>
      <c r="Y9" s="94">
        <f t="shared" si="0"/>
        <v>10369.5</v>
      </c>
      <c r="Z9" s="94">
        <f t="shared" si="0"/>
        <v>10369.5</v>
      </c>
      <c r="AA9" s="94">
        <f t="shared" si="0"/>
        <v>10369.5</v>
      </c>
      <c r="AB9" s="94">
        <f t="shared" si="0"/>
        <v>10369.5</v>
      </c>
      <c r="AC9" s="94">
        <f t="shared" si="0"/>
        <v>10369.5</v>
      </c>
      <c r="AD9" s="94">
        <f t="shared" si="0"/>
        <v>10369.5</v>
      </c>
      <c r="AE9" s="94">
        <f t="shared" si="0"/>
        <v>10369.5</v>
      </c>
      <c r="AF9" s="94">
        <f t="shared" si="0"/>
        <v>10369.5</v>
      </c>
      <c r="AG9" s="94">
        <f t="shared" si="0"/>
        <v>10369.5</v>
      </c>
      <c r="AH9" s="94">
        <f t="shared" si="0"/>
        <v>10369.5</v>
      </c>
      <c r="AI9" s="94">
        <f t="shared" si="0"/>
        <v>10369.5</v>
      </c>
      <c r="AJ9" s="94">
        <f t="shared" si="0"/>
        <v>10369.5</v>
      </c>
      <c r="AK9" s="94">
        <f t="shared" si="0"/>
        <v>10369.5</v>
      </c>
      <c r="AL9" s="94">
        <f t="shared" si="0"/>
        <v>10369.5</v>
      </c>
      <c r="AM9" s="94">
        <f t="shared" si="0"/>
        <v>10369.5</v>
      </c>
      <c r="AN9" s="94">
        <f t="shared" si="0"/>
        <v>10369.5</v>
      </c>
      <c r="AO9" s="94">
        <f t="shared" si="0"/>
        <v>10369.5</v>
      </c>
      <c r="AP9" s="95">
        <f t="shared" si="0"/>
        <v>10369.5</v>
      </c>
    </row>
    <row r="10" spans="2:42" ht="12.75" customHeight="1">
      <c r="B10" s="23" t="s">
        <v>179</v>
      </c>
      <c r="C10" s="94">
        <v>0</v>
      </c>
      <c r="D10" s="94">
        <f t="shared" ref="D10:AP10" si="1">IF($C$5="No",IF(C12&gt;0,-C9,0),0)</f>
        <v>-10369.5</v>
      </c>
      <c r="E10" s="94">
        <f t="shared" si="1"/>
        <v>-10369.5</v>
      </c>
      <c r="F10" s="94">
        <f t="shared" si="1"/>
        <v>-10369.5</v>
      </c>
      <c r="G10" s="94">
        <f t="shared" si="1"/>
        <v>-10369.5</v>
      </c>
      <c r="H10" s="94">
        <f t="shared" si="1"/>
        <v>-10369.5</v>
      </c>
      <c r="I10" s="94">
        <f t="shared" si="1"/>
        <v>-10369.5</v>
      </c>
      <c r="J10" s="94">
        <f t="shared" si="1"/>
        <v>-10369.5</v>
      </c>
      <c r="K10" s="94">
        <f t="shared" si="1"/>
        <v>-10369.5</v>
      </c>
      <c r="L10" s="94">
        <f t="shared" si="1"/>
        <v>-10369.5</v>
      </c>
      <c r="M10" s="94">
        <f t="shared" si="1"/>
        <v>-10369.5</v>
      </c>
      <c r="N10" s="94">
        <f t="shared" si="1"/>
        <v>-10369.5</v>
      </c>
      <c r="O10" s="94">
        <f t="shared" si="1"/>
        <v>-10369.5</v>
      </c>
      <c r="P10" s="94">
        <f t="shared" si="1"/>
        <v>-10369.5</v>
      </c>
      <c r="Q10" s="94">
        <f t="shared" si="1"/>
        <v>-10369.5</v>
      </c>
      <c r="R10" s="94">
        <f t="shared" si="1"/>
        <v>-10369.5</v>
      </c>
      <c r="S10" s="94">
        <f t="shared" si="1"/>
        <v>-10369.5</v>
      </c>
      <c r="T10" s="94">
        <f t="shared" si="1"/>
        <v>-10369.5</v>
      </c>
      <c r="U10" s="94">
        <f t="shared" si="1"/>
        <v>-10369.5</v>
      </c>
      <c r="V10" s="94">
        <f t="shared" si="1"/>
        <v>-10369.5</v>
      </c>
      <c r="W10" s="94">
        <f t="shared" si="1"/>
        <v>-10369.5</v>
      </c>
      <c r="X10" s="94">
        <f t="shared" si="1"/>
        <v>-10369.5</v>
      </c>
      <c r="Y10" s="94">
        <f t="shared" si="1"/>
        <v>-10369.5</v>
      </c>
      <c r="Z10" s="94">
        <f t="shared" si="1"/>
        <v>-10369.5</v>
      </c>
      <c r="AA10" s="94">
        <f t="shared" si="1"/>
        <v>-10369.5</v>
      </c>
      <c r="AB10" s="94">
        <f t="shared" si="1"/>
        <v>-10369.5</v>
      </c>
      <c r="AC10" s="94">
        <f t="shared" si="1"/>
        <v>-10369.5</v>
      </c>
      <c r="AD10" s="94">
        <f t="shared" si="1"/>
        <v>-10369.5</v>
      </c>
      <c r="AE10" s="94">
        <f t="shared" si="1"/>
        <v>-10369.5</v>
      </c>
      <c r="AF10" s="94">
        <f t="shared" si="1"/>
        <v>-10369.5</v>
      </c>
      <c r="AG10" s="94">
        <f t="shared" si="1"/>
        <v>-10369.5</v>
      </c>
      <c r="AH10" s="94">
        <f t="shared" si="1"/>
        <v>-10369.5</v>
      </c>
      <c r="AI10" s="94">
        <f t="shared" si="1"/>
        <v>-10369.5</v>
      </c>
      <c r="AJ10" s="94">
        <f t="shared" si="1"/>
        <v>-10369.5</v>
      </c>
      <c r="AK10" s="94">
        <f t="shared" si="1"/>
        <v>-10369.5</v>
      </c>
      <c r="AL10" s="94">
        <f t="shared" si="1"/>
        <v>-10369.5</v>
      </c>
      <c r="AM10" s="94">
        <f t="shared" si="1"/>
        <v>-10369.5</v>
      </c>
      <c r="AN10" s="94">
        <f t="shared" si="1"/>
        <v>-10369.5</v>
      </c>
      <c r="AO10" s="94">
        <f t="shared" si="1"/>
        <v>-10369.5</v>
      </c>
      <c r="AP10" s="95">
        <f t="shared" si="1"/>
        <v>-10369.5</v>
      </c>
    </row>
    <row r="11" spans="2:42" ht="12.75" customHeight="1">
      <c r="B11" s="23" t="s">
        <v>361</v>
      </c>
      <c r="C11" s="94">
        <f t="shared" ref="C11:AP11" si="2">IF(C8&gt;$G$5,IF(B12&gt;=($C$3*$G$3),-$C$3*$G$3,-(B12+SUM(C9:C10))),0)</f>
        <v>0</v>
      </c>
      <c r="D11" s="94">
        <f t="shared" si="2"/>
        <v>0</v>
      </c>
      <c r="E11" s="94">
        <f t="shared" si="2"/>
        <v>0</v>
      </c>
      <c r="F11" s="94">
        <f t="shared" si="2"/>
        <v>0</v>
      </c>
      <c r="G11" s="94">
        <f t="shared" si="2"/>
        <v>0</v>
      </c>
      <c r="H11" s="94">
        <f t="shared" si="2"/>
        <v>0</v>
      </c>
      <c r="I11" s="94">
        <f t="shared" si="2"/>
        <v>0</v>
      </c>
      <c r="J11" s="94">
        <f t="shared" si="2"/>
        <v>0</v>
      </c>
      <c r="K11" s="94">
        <f t="shared" si="2"/>
        <v>0</v>
      </c>
      <c r="L11" s="94">
        <f t="shared" si="2"/>
        <v>0</v>
      </c>
      <c r="M11" s="94">
        <f t="shared" si="2"/>
        <v>0</v>
      </c>
      <c r="N11" s="94">
        <f t="shared" si="2"/>
        <v>0</v>
      </c>
      <c r="O11" s="94">
        <f t="shared" si="2"/>
        <v>0</v>
      </c>
      <c r="P11" s="94">
        <f t="shared" si="2"/>
        <v>0</v>
      </c>
      <c r="Q11" s="94">
        <f t="shared" si="2"/>
        <v>0</v>
      </c>
      <c r="R11" s="94">
        <f t="shared" si="2"/>
        <v>0</v>
      </c>
      <c r="S11" s="94">
        <f t="shared" si="2"/>
        <v>0</v>
      </c>
      <c r="T11" s="94">
        <f t="shared" si="2"/>
        <v>0</v>
      </c>
      <c r="U11" s="94">
        <f t="shared" si="2"/>
        <v>0</v>
      </c>
      <c r="V11" s="94">
        <f t="shared" si="2"/>
        <v>0</v>
      </c>
      <c r="W11" s="94">
        <f t="shared" si="2"/>
        <v>0</v>
      </c>
      <c r="X11" s="94">
        <f t="shared" si="2"/>
        <v>0</v>
      </c>
      <c r="Y11" s="94">
        <f t="shared" si="2"/>
        <v>0</v>
      </c>
      <c r="Z11" s="94">
        <f t="shared" si="2"/>
        <v>0</v>
      </c>
      <c r="AA11" s="94">
        <f t="shared" si="2"/>
        <v>0</v>
      </c>
      <c r="AB11" s="94">
        <f t="shared" si="2"/>
        <v>0</v>
      </c>
      <c r="AC11" s="94">
        <f t="shared" si="2"/>
        <v>0</v>
      </c>
      <c r="AD11" s="94">
        <f t="shared" si="2"/>
        <v>0</v>
      </c>
      <c r="AE11" s="94">
        <f t="shared" si="2"/>
        <v>0</v>
      </c>
      <c r="AF11" s="94">
        <f t="shared" si="2"/>
        <v>0</v>
      </c>
      <c r="AG11" s="94">
        <f t="shared" si="2"/>
        <v>0</v>
      </c>
      <c r="AH11" s="94">
        <f t="shared" si="2"/>
        <v>0</v>
      </c>
      <c r="AI11" s="94">
        <f t="shared" si="2"/>
        <v>0</v>
      </c>
      <c r="AJ11" s="94">
        <f t="shared" si="2"/>
        <v>0</v>
      </c>
      <c r="AK11" s="94">
        <f t="shared" si="2"/>
        <v>0</v>
      </c>
      <c r="AL11" s="94">
        <f t="shared" si="2"/>
        <v>0</v>
      </c>
      <c r="AM11" s="94">
        <f t="shared" si="2"/>
        <v>0</v>
      </c>
      <c r="AN11" s="94">
        <f t="shared" si="2"/>
        <v>0</v>
      </c>
      <c r="AO11" s="94">
        <f t="shared" si="2"/>
        <v>0</v>
      </c>
      <c r="AP11" s="95">
        <f t="shared" si="2"/>
        <v>0</v>
      </c>
    </row>
    <row r="12" spans="2:42" ht="12.75" customHeight="1">
      <c r="B12" s="596" t="s">
        <v>362</v>
      </c>
      <c r="C12" s="597">
        <f>IF($C$5="Yes",C3+SUM(C9:C11),C3+C11)</f>
        <v>345650</v>
      </c>
      <c r="D12" s="597">
        <f t="shared" ref="D12:AP12" si="3">IF($C$5="Yes",C12+SUM(D9:D11),C12+D11)</f>
        <v>345650</v>
      </c>
      <c r="E12" s="597">
        <f t="shared" si="3"/>
        <v>345650</v>
      </c>
      <c r="F12" s="597">
        <f t="shared" si="3"/>
        <v>345650</v>
      </c>
      <c r="G12" s="597">
        <f t="shared" si="3"/>
        <v>345650</v>
      </c>
      <c r="H12" s="597">
        <f t="shared" si="3"/>
        <v>345650</v>
      </c>
      <c r="I12" s="597">
        <f t="shared" si="3"/>
        <v>345650</v>
      </c>
      <c r="J12" s="597">
        <f t="shared" si="3"/>
        <v>345650</v>
      </c>
      <c r="K12" s="597">
        <f t="shared" si="3"/>
        <v>345650</v>
      </c>
      <c r="L12" s="597">
        <f t="shared" si="3"/>
        <v>345650</v>
      </c>
      <c r="M12" s="597">
        <f t="shared" si="3"/>
        <v>345650</v>
      </c>
      <c r="N12" s="597">
        <f t="shared" si="3"/>
        <v>345650</v>
      </c>
      <c r="O12" s="597">
        <f t="shared" si="3"/>
        <v>345650</v>
      </c>
      <c r="P12" s="597">
        <f t="shared" si="3"/>
        <v>345650</v>
      </c>
      <c r="Q12" s="597">
        <f t="shared" si="3"/>
        <v>345650</v>
      </c>
      <c r="R12" s="597">
        <f t="shared" si="3"/>
        <v>345650</v>
      </c>
      <c r="S12" s="597">
        <f t="shared" si="3"/>
        <v>345650</v>
      </c>
      <c r="T12" s="597">
        <f t="shared" si="3"/>
        <v>345650</v>
      </c>
      <c r="U12" s="597">
        <f t="shared" si="3"/>
        <v>345650</v>
      </c>
      <c r="V12" s="597">
        <f t="shared" si="3"/>
        <v>345650</v>
      </c>
      <c r="W12" s="597">
        <f t="shared" si="3"/>
        <v>345650</v>
      </c>
      <c r="X12" s="597">
        <f t="shared" si="3"/>
        <v>345650</v>
      </c>
      <c r="Y12" s="597">
        <f t="shared" si="3"/>
        <v>345650</v>
      </c>
      <c r="Z12" s="597">
        <f t="shared" si="3"/>
        <v>345650</v>
      </c>
      <c r="AA12" s="597">
        <f t="shared" si="3"/>
        <v>345650</v>
      </c>
      <c r="AB12" s="597">
        <f t="shared" si="3"/>
        <v>345650</v>
      </c>
      <c r="AC12" s="597">
        <f t="shared" si="3"/>
        <v>345650</v>
      </c>
      <c r="AD12" s="597">
        <f t="shared" si="3"/>
        <v>345650</v>
      </c>
      <c r="AE12" s="597">
        <f t="shared" si="3"/>
        <v>345650</v>
      </c>
      <c r="AF12" s="597">
        <f t="shared" si="3"/>
        <v>345650</v>
      </c>
      <c r="AG12" s="597">
        <f t="shared" si="3"/>
        <v>345650</v>
      </c>
      <c r="AH12" s="597">
        <f t="shared" si="3"/>
        <v>345650</v>
      </c>
      <c r="AI12" s="597">
        <f t="shared" si="3"/>
        <v>345650</v>
      </c>
      <c r="AJ12" s="597">
        <f t="shared" si="3"/>
        <v>345650</v>
      </c>
      <c r="AK12" s="597">
        <f t="shared" si="3"/>
        <v>345650</v>
      </c>
      <c r="AL12" s="597">
        <f t="shared" si="3"/>
        <v>345650</v>
      </c>
      <c r="AM12" s="597">
        <f t="shared" si="3"/>
        <v>345650</v>
      </c>
      <c r="AN12" s="597">
        <f t="shared" si="3"/>
        <v>345650</v>
      </c>
      <c r="AO12" s="597">
        <f t="shared" si="3"/>
        <v>345650</v>
      </c>
      <c r="AP12" s="598">
        <f t="shared" si="3"/>
        <v>345650</v>
      </c>
    </row>
    <row r="13" spans="2:42" s="595" customFormat="1" ht="12.75" customHeight="1">
      <c r="B13" s="599" t="s">
        <v>360</v>
      </c>
      <c r="C13" s="600">
        <f>'Financial Model'!$S23</f>
        <v>927.44599999999991</v>
      </c>
      <c r="D13" s="600">
        <f>'Financial Model'!$S24</f>
        <v>953.41448800000001</v>
      </c>
      <c r="E13" s="600">
        <f>'Financial Model'!$S25</f>
        <v>980.11009366400003</v>
      </c>
      <c r="F13" s="600">
        <f>'Financial Model'!$S26</f>
        <v>1007.553176286592</v>
      </c>
      <c r="G13" s="600">
        <f>'Financial Model'!$S27</f>
        <v>1035.7646652226165</v>
      </c>
      <c r="H13" s="600">
        <f>'Financial Model'!$S28</f>
        <v>1064.7660758488498</v>
      </c>
      <c r="I13" s="600">
        <f>'Financial Model'!$S29</f>
        <v>1094.5795259726178</v>
      </c>
      <c r="J13" s="600">
        <f>'Financial Model'!$S30</f>
        <v>1125.2277526998512</v>
      </c>
      <c r="K13" s="600">
        <f>'Financial Model'!$S31</f>
        <v>1156.7341297754469</v>
      </c>
      <c r="L13" s="600">
        <f>'Financial Model'!$S32</f>
        <v>1189.1226854091594</v>
      </c>
      <c r="M13" s="600">
        <f>'Financial Model'!$S33</f>
        <v>1222.4181206006158</v>
      </c>
      <c r="N13" s="600">
        <f>'Financial Model'!$S34</f>
        <v>1256.6458279774333</v>
      </c>
      <c r="O13" s="600">
        <f>'Financial Model'!$S35</f>
        <v>1291.8319111608014</v>
      </c>
      <c r="P13" s="600">
        <f>'Financial Model'!$S36</f>
        <v>1328.0032046733038</v>
      </c>
      <c r="Q13" s="600">
        <f>'Financial Model'!$S37</f>
        <v>1365.1872944041563</v>
      </c>
      <c r="R13" s="600">
        <f>'Financial Model'!$S38</f>
        <v>1403.4125386474727</v>
      </c>
      <c r="S13" s="600">
        <f>'Financial Model'!$S39</f>
        <v>1442.7080897296021</v>
      </c>
      <c r="T13" s="600">
        <f>'Financial Model'!$S40</f>
        <v>1483.1039162420311</v>
      </c>
      <c r="U13" s="600">
        <f>'Financial Model'!$S41</f>
        <v>1524.6308258968079</v>
      </c>
      <c r="V13" s="600">
        <f>'Financial Model'!$S42</f>
        <v>1567.3204890219185</v>
      </c>
      <c r="W13" s="600">
        <f>'Financial Model'!$S43</f>
        <v>1611.2054627145324</v>
      </c>
      <c r="X13" s="600">
        <f>'Financial Model'!$S44</f>
        <v>1656.3192156705391</v>
      </c>
      <c r="Y13" s="600">
        <f>'Financial Model'!$S45</f>
        <v>1702.6961537093143</v>
      </c>
      <c r="Z13" s="600">
        <f>'Financial Model'!$S46</f>
        <v>1750.371646013175</v>
      </c>
      <c r="AA13" s="600">
        <f>'Financial Model'!$S47</f>
        <v>1799.3820521015439</v>
      </c>
      <c r="AB13" s="600">
        <f>'Financial Model'!$S48</f>
        <v>1849.7647495603869</v>
      </c>
      <c r="AC13" s="600">
        <f>'Financial Model'!$S49</f>
        <v>1901.5581625480781</v>
      </c>
      <c r="AD13" s="600">
        <f>'Financial Model'!$S50</f>
        <v>1954.8017910994245</v>
      </c>
      <c r="AE13" s="600">
        <f>'Financial Model'!$S51</f>
        <v>2009.5362412502084</v>
      </c>
      <c r="AF13" s="600">
        <f>'Financial Model'!$S52</f>
        <v>2065.8032560052143</v>
      </c>
      <c r="AG13" s="600">
        <f>'Financial Model'!$S53</f>
        <v>2123.6457471733606</v>
      </c>
      <c r="AH13" s="600">
        <f>'Financial Model'!$S54</f>
        <v>2183.1078280942143</v>
      </c>
      <c r="AI13" s="600">
        <f>'Financial Model'!$S55</f>
        <v>2244.2348472808526</v>
      </c>
      <c r="AJ13" s="600">
        <f>'Financial Model'!$S56</f>
        <v>2307.0734230047165</v>
      </c>
      <c r="AK13" s="600">
        <f>'Financial Model'!$S57</f>
        <v>2371.6714788488489</v>
      </c>
      <c r="AL13" s="600">
        <f>'Financial Model'!$S58</f>
        <v>2438.0782802566168</v>
      </c>
      <c r="AM13" s="600">
        <f>'Financial Model'!$S59</f>
        <v>2506.3444721038022</v>
      </c>
      <c r="AN13" s="600">
        <f>'Financial Model'!$S60</f>
        <v>2576.5221173227087</v>
      </c>
      <c r="AO13" s="600">
        <f>'Financial Model'!$S61</f>
        <v>2648.6647366077445</v>
      </c>
      <c r="AP13" s="601">
        <f>'Financial Model'!$S62</f>
        <v>2722.8273492327612</v>
      </c>
    </row>
    <row r="14" spans="2:42" s="595" customFormat="1" ht="12.75" customHeight="1">
      <c r="B14" s="602" t="s">
        <v>363</v>
      </c>
      <c r="C14" s="603">
        <f>C13</f>
        <v>927.44599999999991</v>
      </c>
      <c r="D14" s="603">
        <f>C14+D13</f>
        <v>1880.8604879999998</v>
      </c>
      <c r="E14" s="603">
        <f t="shared" ref="E14:AP14" si="4">D14+E13</f>
        <v>2860.9705816639998</v>
      </c>
      <c r="F14" s="603">
        <f t="shared" si="4"/>
        <v>3868.523757950592</v>
      </c>
      <c r="G14" s="603">
        <f t="shared" si="4"/>
        <v>4904.2884231732087</v>
      </c>
      <c r="H14" s="603">
        <f t="shared" si="4"/>
        <v>5969.0544990220587</v>
      </c>
      <c r="I14" s="603">
        <f t="shared" si="4"/>
        <v>7063.634024994677</v>
      </c>
      <c r="J14" s="603">
        <f t="shared" si="4"/>
        <v>8188.8617776945284</v>
      </c>
      <c r="K14" s="603">
        <f t="shared" si="4"/>
        <v>9345.5959074699749</v>
      </c>
      <c r="L14" s="603">
        <f t="shared" si="4"/>
        <v>10534.718592879135</v>
      </c>
      <c r="M14" s="603">
        <f t="shared" si="4"/>
        <v>11757.136713479751</v>
      </c>
      <c r="N14" s="603">
        <f t="shared" si="4"/>
        <v>13013.782541457185</v>
      </c>
      <c r="O14" s="603">
        <f t="shared" si="4"/>
        <v>14305.614452617987</v>
      </c>
      <c r="P14" s="603">
        <f t="shared" si="4"/>
        <v>15633.61765729129</v>
      </c>
      <c r="Q14" s="603">
        <f t="shared" si="4"/>
        <v>16998.804951695445</v>
      </c>
      <c r="R14" s="603">
        <f t="shared" si="4"/>
        <v>18402.217490342919</v>
      </c>
      <c r="S14" s="603">
        <f t="shared" si="4"/>
        <v>19844.925580072522</v>
      </c>
      <c r="T14" s="603">
        <f t="shared" si="4"/>
        <v>21328.029496314553</v>
      </c>
      <c r="U14" s="603">
        <f t="shared" si="4"/>
        <v>22852.660322211363</v>
      </c>
      <c r="V14" s="603">
        <f t="shared" si="4"/>
        <v>24419.980811233283</v>
      </c>
      <c r="W14" s="603">
        <f t="shared" si="4"/>
        <v>26031.186273947817</v>
      </c>
      <c r="X14" s="603">
        <f t="shared" si="4"/>
        <v>27687.505489618357</v>
      </c>
      <c r="Y14" s="603">
        <f t="shared" si="4"/>
        <v>29390.201643327673</v>
      </c>
      <c r="Z14" s="603">
        <f t="shared" si="4"/>
        <v>31140.573289340849</v>
      </c>
      <c r="AA14" s="603">
        <f t="shared" si="4"/>
        <v>32939.955341442394</v>
      </c>
      <c r="AB14" s="603">
        <f t="shared" si="4"/>
        <v>34789.720091002782</v>
      </c>
      <c r="AC14" s="603">
        <f t="shared" si="4"/>
        <v>36691.27825355086</v>
      </c>
      <c r="AD14" s="603">
        <f t="shared" si="4"/>
        <v>38646.080044650284</v>
      </c>
      <c r="AE14" s="603">
        <f t="shared" si="4"/>
        <v>40655.616285900491</v>
      </c>
      <c r="AF14" s="603">
        <f t="shared" si="4"/>
        <v>42721.419541905707</v>
      </c>
      <c r="AG14" s="603">
        <f t="shared" si="4"/>
        <v>44845.065289079066</v>
      </c>
      <c r="AH14" s="603">
        <f t="shared" si="4"/>
        <v>47028.173117173283</v>
      </c>
      <c r="AI14" s="603">
        <f t="shared" si="4"/>
        <v>49272.407964454134</v>
      </c>
      <c r="AJ14" s="603">
        <f t="shared" si="4"/>
        <v>51579.481387458851</v>
      </c>
      <c r="AK14" s="603">
        <f t="shared" si="4"/>
        <v>53951.152866307697</v>
      </c>
      <c r="AL14" s="603">
        <f t="shared" si="4"/>
        <v>56389.231146564314</v>
      </c>
      <c r="AM14" s="603">
        <f t="shared" si="4"/>
        <v>58895.575618668117</v>
      </c>
      <c r="AN14" s="603">
        <f t="shared" si="4"/>
        <v>61472.097735990828</v>
      </c>
      <c r="AO14" s="603">
        <f t="shared" si="4"/>
        <v>64120.762472598573</v>
      </c>
      <c r="AP14" s="604">
        <f t="shared" si="4"/>
        <v>66843.589821831338</v>
      </c>
    </row>
    <row r="15" spans="2:42" ht="12.75" customHeight="1"/>
    <row r="16" spans="2:42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">
    <mergeCell ref="B2:G2"/>
    <mergeCell ref="D3:F3"/>
    <mergeCell ref="D4:F4"/>
    <mergeCell ref="D5:F5"/>
  </mergeCells>
  <dataValidations disablePrompts="1" count="1">
    <dataValidation type="list" allowBlank="1" showInputMessage="1" showErrorMessage="1" prompt=" - " sqref="C5">
      <formula1>"Yes,No"</formula1>
    </dataValidation>
  </dataValidations>
  <pageMargins left="0.39370078740157483" right="0.39370078740157483" top="0.39370078740157483" bottom="0.39370078740157483" header="0" footer="0"/>
  <pageSetup scale="23" orientation="portrait" r:id="rId1"/>
  <headerFooter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U67"/>
  <sheetViews>
    <sheetView zoomScale="80" zoomScaleNormal="80" workbookViewId="0">
      <selection activeCell="J27" sqref="J27"/>
    </sheetView>
  </sheetViews>
  <sheetFormatPr defaultColWidth="12.7109375" defaultRowHeight="15.75" customHeight="1"/>
  <cols>
    <col min="1" max="1" width="2.28515625" customWidth="1"/>
    <col min="2" max="2" width="28.42578125" customWidth="1"/>
    <col min="7" max="7" width="2.28515625" customWidth="1"/>
    <col min="13" max="13" width="8.7109375" bestFit="1" customWidth="1"/>
  </cols>
  <sheetData>
    <row r="1" spans="1:47" ht="15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</row>
    <row r="2" spans="1:47" ht="15.75" customHeight="1">
      <c r="A2" s="5"/>
      <c r="C2" s="6" t="s">
        <v>16</v>
      </c>
      <c r="D2" s="6" t="s">
        <v>17</v>
      </c>
      <c r="E2" s="6" t="s">
        <v>18</v>
      </c>
      <c r="F2" s="6" t="s">
        <v>19</v>
      </c>
      <c r="G2" s="7"/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6">
        <v>6</v>
      </c>
      <c r="N2" s="6">
        <v>7</v>
      </c>
      <c r="O2" s="6">
        <v>8</v>
      </c>
      <c r="P2" s="6">
        <v>9</v>
      </c>
      <c r="Q2" s="6">
        <v>10</v>
      </c>
      <c r="R2" s="6">
        <v>11</v>
      </c>
      <c r="S2" s="6">
        <v>12</v>
      </c>
      <c r="T2" s="6">
        <v>13</v>
      </c>
      <c r="U2" s="6">
        <v>14</v>
      </c>
      <c r="V2" s="6">
        <v>15</v>
      </c>
      <c r="W2" s="6">
        <v>16</v>
      </c>
      <c r="X2" s="6">
        <v>17</v>
      </c>
      <c r="Y2" s="6">
        <v>18</v>
      </c>
      <c r="Z2" s="6">
        <v>19</v>
      </c>
      <c r="AA2" s="6">
        <v>20</v>
      </c>
      <c r="AB2" s="6">
        <v>21</v>
      </c>
      <c r="AC2" s="6">
        <v>22</v>
      </c>
      <c r="AD2" s="6">
        <v>23</v>
      </c>
      <c r="AE2" s="6">
        <v>24</v>
      </c>
      <c r="AF2" s="6">
        <v>25</v>
      </c>
      <c r="AG2" s="6">
        <v>26</v>
      </c>
      <c r="AH2" s="6">
        <v>27</v>
      </c>
      <c r="AI2" s="6">
        <v>28</v>
      </c>
      <c r="AJ2" s="6">
        <v>29</v>
      </c>
      <c r="AK2" s="6">
        <v>30</v>
      </c>
      <c r="AL2" s="6">
        <v>31</v>
      </c>
      <c r="AM2" s="6">
        <v>32</v>
      </c>
      <c r="AN2" s="6">
        <v>33</v>
      </c>
      <c r="AO2" s="6">
        <v>34</v>
      </c>
      <c r="AP2" s="6">
        <v>35</v>
      </c>
      <c r="AQ2" s="6">
        <v>36</v>
      </c>
      <c r="AR2" s="6">
        <v>37</v>
      </c>
      <c r="AS2" s="6">
        <v>38</v>
      </c>
      <c r="AT2" s="6">
        <v>39</v>
      </c>
      <c r="AU2" s="6">
        <v>40</v>
      </c>
    </row>
    <row r="3" spans="1:47" ht="15.75" customHeight="1">
      <c r="A3" s="5"/>
      <c r="B3" s="8"/>
      <c r="C3" s="9" t="s">
        <v>25</v>
      </c>
      <c r="D3" s="9" t="s">
        <v>25</v>
      </c>
      <c r="E3" s="9" t="s">
        <v>25</v>
      </c>
      <c r="F3" s="9" t="s">
        <v>25</v>
      </c>
      <c r="G3" s="10"/>
      <c r="H3" s="9" t="s">
        <v>25</v>
      </c>
      <c r="I3" s="9" t="s">
        <v>25</v>
      </c>
      <c r="J3" s="9" t="s">
        <v>25</v>
      </c>
      <c r="K3" s="9" t="s">
        <v>25</v>
      </c>
      <c r="L3" s="9" t="s">
        <v>25</v>
      </c>
      <c r="M3" s="9" t="s">
        <v>25</v>
      </c>
      <c r="N3" s="9" t="s">
        <v>25</v>
      </c>
      <c r="O3" s="9" t="s">
        <v>25</v>
      </c>
      <c r="P3" s="9" t="s">
        <v>25</v>
      </c>
      <c r="Q3" s="9" t="s">
        <v>25</v>
      </c>
      <c r="R3" s="9" t="s">
        <v>25</v>
      </c>
      <c r="S3" s="9" t="s">
        <v>25</v>
      </c>
      <c r="T3" s="9" t="s">
        <v>25</v>
      </c>
      <c r="U3" s="9" t="s">
        <v>25</v>
      </c>
      <c r="V3" s="9" t="s">
        <v>25</v>
      </c>
      <c r="W3" s="9" t="s">
        <v>25</v>
      </c>
      <c r="X3" s="9" t="s">
        <v>25</v>
      </c>
      <c r="Y3" s="9" t="s">
        <v>25</v>
      </c>
      <c r="Z3" s="9" t="s">
        <v>25</v>
      </c>
      <c r="AA3" s="9" t="s">
        <v>25</v>
      </c>
      <c r="AB3" s="9" t="s">
        <v>25</v>
      </c>
      <c r="AC3" s="9" t="s">
        <v>25</v>
      </c>
      <c r="AD3" s="9" t="s">
        <v>25</v>
      </c>
      <c r="AE3" s="9" t="s">
        <v>25</v>
      </c>
      <c r="AF3" s="9" t="s">
        <v>25</v>
      </c>
      <c r="AG3" s="9" t="s">
        <v>25</v>
      </c>
      <c r="AH3" s="9" t="s">
        <v>25</v>
      </c>
      <c r="AI3" s="9" t="s">
        <v>25</v>
      </c>
      <c r="AJ3" s="9" t="s">
        <v>25</v>
      </c>
      <c r="AK3" s="9" t="s">
        <v>25</v>
      </c>
      <c r="AL3" s="9" t="s">
        <v>25</v>
      </c>
      <c r="AM3" s="9" t="s">
        <v>25</v>
      </c>
      <c r="AN3" s="9" t="s">
        <v>25</v>
      </c>
      <c r="AO3" s="9" t="s">
        <v>25</v>
      </c>
      <c r="AP3" s="9" t="s">
        <v>25</v>
      </c>
      <c r="AQ3" s="9" t="s">
        <v>25</v>
      </c>
      <c r="AR3" s="9" t="s">
        <v>25</v>
      </c>
      <c r="AS3" s="9" t="s">
        <v>25</v>
      </c>
      <c r="AT3" s="9" t="s">
        <v>25</v>
      </c>
      <c r="AU3" s="9" t="s">
        <v>25</v>
      </c>
    </row>
    <row r="4" spans="1:47" ht="15.75" customHeight="1">
      <c r="A4" s="5"/>
      <c r="B4" s="8" t="s">
        <v>26</v>
      </c>
      <c r="G4" s="5"/>
      <c r="M4" s="478"/>
      <c r="N4" s="478"/>
      <c r="O4" s="478"/>
      <c r="P4" s="478"/>
      <c r="Q4" s="478"/>
      <c r="R4" s="478"/>
      <c r="S4" s="478"/>
      <c r="T4" s="478"/>
      <c r="U4" s="478"/>
      <c r="V4" s="478"/>
      <c r="W4" s="478"/>
      <c r="X4" s="478"/>
      <c r="Y4" s="478"/>
      <c r="Z4" s="478"/>
      <c r="AA4" s="478"/>
      <c r="AB4" s="478"/>
      <c r="AC4" s="478"/>
      <c r="AD4" s="478"/>
      <c r="AE4" s="478"/>
      <c r="AF4" s="478"/>
      <c r="AG4" s="478"/>
      <c r="AH4" s="478"/>
      <c r="AI4" s="478"/>
      <c r="AJ4" s="478"/>
      <c r="AK4" s="478"/>
      <c r="AL4" s="478"/>
      <c r="AM4" s="478"/>
      <c r="AN4" s="478"/>
      <c r="AO4" s="478"/>
      <c r="AP4" s="478"/>
      <c r="AQ4" s="478"/>
      <c r="AR4" s="478"/>
      <c r="AS4" s="478"/>
      <c r="AT4" s="478"/>
      <c r="AU4" s="478"/>
    </row>
    <row r="5" spans="1:47" ht="15.75" customHeight="1">
      <c r="A5" s="5"/>
      <c r="B5" s="11" t="s">
        <v>226</v>
      </c>
      <c r="C5" s="12">
        <f>$H5/4</f>
        <v>4637.2299999999996</v>
      </c>
      <c r="D5" s="12">
        <f>$H5/4</f>
        <v>4637.2299999999996</v>
      </c>
      <c r="E5" s="12">
        <f>$H5/4</f>
        <v>4637.2299999999996</v>
      </c>
      <c r="F5" s="12">
        <f>$H5/4</f>
        <v>4637.2299999999996</v>
      </c>
      <c r="G5" s="13"/>
      <c r="H5" s="12">
        <f>'Financial Model'!E$23</f>
        <v>18548.919999999998</v>
      </c>
      <c r="I5" s="12">
        <f>'Financial Model'!E$24</f>
        <v>19068.28976</v>
      </c>
      <c r="J5" s="12">
        <f>'Financial Model'!E$25</f>
        <v>19602.201873279999</v>
      </c>
      <c r="K5" s="12">
        <f>'Financial Model'!E$26</f>
        <v>20151.063525731839</v>
      </c>
      <c r="L5" s="12">
        <f>'Financial Model'!E$27</f>
        <v>20715.293304452331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</row>
    <row r="6" spans="1:47" ht="15.75" customHeight="1">
      <c r="A6" s="5"/>
      <c r="B6" s="11" t="s">
        <v>227</v>
      </c>
      <c r="C6" s="12">
        <f t="shared" ref="C6:E6" si="0">$H6/4</f>
        <v>0</v>
      </c>
      <c r="D6" s="12">
        <f t="shared" si="0"/>
        <v>0</v>
      </c>
      <c r="E6" s="12">
        <f t="shared" si="0"/>
        <v>0</v>
      </c>
      <c r="F6" s="12">
        <f>$H6/4</f>
        <v>0</v>
      </c>
      <c r="G6" s="13"/>
      <c r="H6" s="12">
        <f>'Financial Model'!F$23</f>
        <v>0</v>
      </c>
      <c r="I6" s="12">
        <f ca="1">'Financial Model'!F$24</f>
        <v>526.42195199999992</v>
      </c>
      <c r="J6" s="12">
        <f ca="1">'Financial Model'!F$25</f>
        <v>772.41490221599975</v>
      </c>
      <c r="K6" s="12">
        <f ca="1">'Financial Model'!F$26</f>
        <v>1041.0702422298475</v>
      </c>
      <c r="L6" s="12">
        <f ca="1">'Financial Model'!F$27</f>
        <v>1333.4989218997623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15.75" customHeight="1">
      <c r="A7" s="5"/>
      <c r="B7" s="11"/>
      <c r="C7" s="12"/>
      <c r="D7" s="12"/>
      <c r="E7" s="12"/>
      <c r="F7" s="12"/>
      <c r="G7" s="13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</row>
    <row r="8" spans="1:47" ht="15.75" customHeight="1">
      <c r="A8" s="5"/>
      <c r="B8" s="8" t="s">
        <v>343</v>
      </c>
      <c r="C8" s="14">
        <f t="shared" ref="C8:F8" si="1">SUM(C5:C7)</f>
        <v>4637.2299999999996</v>
      </c>
      <c r="D8" s="14">
        <f t="shared" si="1"/>
        <v>4637.2299999999996</v>
      </c>
      <c r="E8" s="14">
        <f t="shared" si="1"/>
        <v>4637.2299999999996</v>
      </c>
      <c r="F8" s="14">
        <f t="shared" si="1"/>
        <v>4637.2299999999996</v>
      </c>
      <c r="G8" s="15"/>
      <c r="H8" s="14">
        <f>SUM(C8:F8)</f>
        <v>18548.919999999998</v>
      </c>
      <c r="I8" s="14">
        <f t="shared" ref="I8:L8" ca="1" si="2">SUM(I5:I7)</f>
        <v>19594.711712</v>
      </c>
      <c r="J8" s="14">
        <f t="shared" ca="1" si="2"/>
        <v>20374.616775495997</v>
      </c>
      <c r="K8" s="14">
        <f t="shared" ca="1" si="2"/>
        <v>21192.133767961688</v>
      </c>
      <c r="L8" s="14">
        <f t="shared" ca="1" si="2"/>
        <v>22048.792226352092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</row>
    <row r="9" spans="1:47" ht="15.75" customHeight="1">
      <c r="A9" s="5"/>
      <c r="C9" s="12"/>
      <c r="D9" s="12"/>
      <c r="E9" s="12"/>
      <c r="F9" s="12"/>
      <c r="G9" s="13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</row>
    <row r="10" spans="1:47" ht="15.75" customHeight="1">
      <c r="A10" s="5"/>
      <c r="B10" s="8" t="s">
        <v>28</v>
      </c>
      <c r="C10" s="12"/>
      <c r="D10" s="12"/>
      <c r="E10" s="12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1" spans="1:47" ht="15.75" customHeight="1">
      <c r="A11" s="5"/>
      <c r="B11" s="11" t="str">
        <f>'Weekly Overheads'!B2</f>
        <v>Wages and Salaries</v>
      </c>
      <c r="C11" s="12">
        <f t="shared" ref="C11:E11" si="3">$H11/4</f>
        <v>0</v>
      </c>
      <c r="D11" s="12">
        <f t="shared" si="3"/>
        <v>0</v>
      </c>
      <c r="E11" s="12">
        <f t="shared" si="3"/>
        <v>0</v>
      </c>
      <c r="F11" s="12">
        <f>$H11/4</f>
        <v>0</v>
      </c>
      <c r="G11" s="13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</row>
    <row r="12" spans="1:47" ht="15.75" customHeight="1">
      <c r="A12" s="5"/>
      <c r="B12" s="11" t="str">
        <f>'Weekly Overheads'!B3</f>
        <v>Property Mgmt Costs</v>
      </c>
      <c r="C12" s="12">
        <f>$H12/4</f>
        <v>-602.83989999999994</v>
      </c>
      <c r="D12" s="12">
        <f>$H12/4</f>
        <v>-602.83989999999994</v>
      </c>
      <c r="E12" s="12">
        <f>$H12/4</f>
        <v>-602.83989999999994</v>
      </c>
      <c r="F12" s="12">
        <f>$H12/4</f>
        <v>-602.83989999999994</v>
      </c>
      <c r="G12" s="13"/>
      <c r="H12" s="12">
        <f>-'Financial Model'!$I23</f>
        <v>-2411.3595999999998</v>
      </c>
      <c r="I12" s="12">
        <f>-'Financial Model'!$I24</f>
        <v>-2478.8776688000003</v>
      </c>
      <c r="J12" s="12">
        <f>-'Financial Model'!$I25</f>
        <v>-2548.2862435264001</v>
      </c>
      <c r="K12" s="12">
        <f>-'Financial Model'!$I26</f>
        <v>-2619.6382583451391</v>
      </c>
      <c r="L12" s="12">
        <f>-'Financial Model'!$I27</f>
        <v>-2692.9881295788032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</row>
    <row r="13" spans="1:47" ht="15.75" customHeight="1">
      <c r="A13" s="5"/>
      <c r="B13" s="11" t="str">
        <f>'Weekly Overheads'!B4</f>
        <v>Rates</v>
      </c>
      <c r="C13" s="12">
        <f>-'Weekly Overheads'!$C4*52.2/4</f>
        <v>0</v>
      </c>
      <c r="D13" s="12">
        <f>-'Weekly Overheads'!$C4*52.2/4</f>
        <v>0</v>
      </c>
      <c r="E13" s="12">
        <f>-'Weekly Overheads'!$C4*52.2/4</f>
        <v>0</v>
      </c>
      <c r="F13" s="12">
        <f>-'Weekly Overheads'!$C4*52.2/4</f>
        <v>0</v>
      </c>
      <c r="G13" s="13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</row>
    <row r="14" spans="1:47" ht="15.75" customHeight="1">
      <c r="A14" s="5"/>
      <c r="B14" s="11" t="str">
        <f>'Weekly Overheads'!B5</f>
        <v>Utilities</v>
      </c>
      <c r="C14" s="12">
        <f>-'Weekly Overheads'!$C5*52.2/4</f>
        <v>0</v>
      </c>
      <c r="D14" s="12">
        <f>-'Weekly Overheads'!$C5*52.2/4</f>
        <v>0</v>
      </c>
      <c r="E14" s="12">
        <f>-'Weekly Overheads'!$C5*52.2/4</f>
        <v>0</v>
      </c>
      <c r="F14" s="12">
        <f>-'Weekly Overheads'!$C5*52.2/4</f>
        <v>0</v>
      </c>
      <c r="G14" s="13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</row>
    <row r="15" spans="1:47" ht="15.75" customHeight="1">
      <c r="A15" s="5"/>
      <c r="B15" s="11" t="str">
        <f>'Weekly Overheads'!B6</f>
        <v>Repairs and Renewals</v>
      </c>
      <c r="C15" s="12">
        <f t="shared" ref="C15:F16" si="4">$H15/4</f>
        <v>-190.625</v>
      </c>
      <c r="D15" s="12">
        <f t="shared" si="4"/>
        <v>-190.625</v>
      </c>
      <c r="E15" s="12">
        <f t="shared" si="4"/>
        <v>-190.625</v>
      </c>
      <c r="F15" s="12">
        <f t="shared" si="4"/>
        <v>-190.625</v>
      </c>
      <c r="G15" s="13"/>
      <c r="H15" s="12">
        <f>-('Financial Model'!J23+'Financial Model'!K23)</f>
        <v>-762.5</v>
      </c>
      <c r="I15" s="12">
        <f ca="1">-('Financial Model'!J24+'Financial Model'!K24)</f>
        <v>-781.5625</v>
      </c>
      <c r="J15" s="12">
        <f ca="1">-('Financial Model'!J25+'Financial Model'!K25)</f>
        <v>-801.1015625</v>
      </c>
      <c r="K15" s="12">
        <f ca="1">-('Financial Model'!J26+'Financial Model'!K26)</f>
        <v>-821.12910156250007</v>
      </c>
      <c r="L15" s="12">
        <f ca="1">-('Financial Model'!J27+'Financial Model'!K27)</f>
        <v>-841.65732910156237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</row>
    <row r="16" spans="1:47" ht="15.75" customHeight="1">
      <c r="A16" s="5"/>
      <c r="B16" s="11" t="str">
        <f>'Weekly Overheads'!B7</f>
        <v>Insurance</v>
      </c>
      <c r="C16" s="12">
        <f t="shared" si="4"/>
        <v>-152.5</v>
      </c>
      <c r="D16" s="12">
        <f t="shared" si="4"/>
        <v>-152.5</v>
      </c>
      <c r="E16" s="12">
        <f t="shared" si="4"/>
        <v>-152.5</v>
      </c>
      <c r="F16" s="12">
        <f t="shared" si="4"/>
        <v>-152.5</v>
      </c>
      <c r="G16" s="13"/>
      <c r="H16" s="12">
        <f>-'Financial Model'!H$23</f>
        <v>-610</v>
      </c>
      <c r="I16" s="12">
        <f>-'Financial Model'!H$24</f>
        <v>-625.25</v>
      </c>
      <c r="J16" s="12">
        <f>-'Financial Model'!H$25</f>
        <v>-640.88125000000002</v>
      </c>
      <c r="K16" s="12">
        <f>-'Financial Model'!H$26</f>
        <v>-656.90328124999996</v>
      </c>
      <c r="L16" s="12">
        <f>-'Financial Model'!H$27</f>
        <v>-673.32586328124989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</row>
    <row r="17" spans="1:47" ht="15.75" customHeight="1">
      <c r="A17" s="5"/>
      <c r="B17" s="11" t="s">
        <v>331</v>
      </c>
      <c r="C17" s="12">
        <f>H17</f>
        <v>-17650</v>
      </c>
      <c r="D17" s="12"/>
      <c r="E17" s="12"/>
      <c r="F17" s="12"/>
      <c r="G17" s="13"/>
      <c r="H17" s="12">
        <f>-('Start Up Costs'!L17+'Start Up Costs'!L18)</f>
        <v>-17650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</row>
    <row r="18" spans="1:47" ht="15.75" customHeight="1">
      <c r="A18" s="5"/>
      <c r="B18" s="8" t="s">
        <v>29</v>
      </c>
      <c r="C18" s="14">
        <f>SUM(C11:C17)</f>
        <v>-18595.964899999999</v>
      </c>
      <c r="D18" s="14">
        <f>SUM(D11:D17)</f>
        <v>-945.96489999999994</v>
      </c>
      <c r="E18" s="14">
        <f>SUM(E11:E17)</f>
        <v>-945.96489999999994</v>
      </c>
      <c r="F18" s="14">
        <f>SUM(F11:F17)</f>
        <v>-945.96489999999994</v>
      </c>
      <c r="G18" s="13"/>
      <c r="H18" s="14">
        <f>SUM(C18:F18)</f>
        <v>-21433.859599999996</v>
      </c>
      <c r="I18" s="14">
        <f ca="1">SUM(I11:I17)</f>
        <v>-3885.6901688000003</v>
      </c>
      <c r="J18" s="14">
        <f ca="1">SUM(J11:J17)</f>
        <v>-3990.2690560264</v>
      </c>
      <c r="K18" s="14">
        <f ca="1">SUM(K11:K17)</f>
        <v>-4097.6706411576397</v>
      </c>
      <c r="L18" s="14">
        <f ca="1">SUM(L11:L17)</f>
        <v>-4207.9713219616151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</row>
    <row r="19" spans="1:47" ht="15.75" customHeight="1">
      <c r="A19" s="5"/>
      <c r="C19" s="12"/>
      <c r="D19" s="12"/>
      <c r="E19" s="12"/>
      <c r="F19" s="12"/>
      <c r="G19" s="13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</row>
    <row r="20" spans="1:47" ht="15.75" customHeight="1">
      <c r="A20" s="5"/>
      <c r="B20" s="8" t="s">
        <v>30</v>
      </c>
      <c r="C20" s="14">
        <f>C8+C18</f>
        <v>-13958.734899999999</v>
      </c>
      <c r="D20" s="14">
        <f>D8+D18</f>
        <v>3691.2650999999996</v>
      </c>
      <c r="E20" s="14">
        <f>E8+E18</f>
        <v>3691.2650999999996</v>
      </c>
      <c r="F20" s="14">
        <f>F8+F18</f>
        <v>3691.2650999999996</v>
      </c>
      <c r="G20" s="13"/>
      <c r="H20" s="14">
        <f>H8+H18</f>
        <v>-2884.9395999999979</v>
      </c>
      <c r="I20" s="14">
        <f ca="1">I8+I18</f>
        <v>15709.0215432</v>
      </c>
      <c r="J20" s="14">
        <f ca="1">J8+J18</f>
        <v>16384.347719469595</v>
      </c>
      <c r="K20" s="14">
        <f ca="1">K8+K18</f>
        <v>17094.463126804047</v>
      </c>
      <c r="L20" s="14">
        <f ca="1">L8+L18</f>
        <v>17840.820904390479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</row>
    <row r="21" spans="1:47" ht="15.75" customHeight="1">
      <c r="A21" s="5"/>
      <c r="C21" s="12"/>
      <c r="D21" s="12"/>
      <c r="E21" s="12"/>
      <c r="F21" s="12"/>
      <c r="G21" s="13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</row>
    <row r="22" spans="1:47" s="478" customFormat="1" ht="15.75" customHeight="1">
      <c r="A22" s="5"/>
      <c r="B22" s="8" t="s">
        <v>31</v>
      </c>
      <c r="C22" s="12"/>
      <c r="D22" s="12"/>
      <c r="E22" s="12"/>
      <c r="F22" s="12"/>
      <c r="G22" s="1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</row>
    <row r="23" spans="1:47" s="478" customFormat="1" ht="15.75" customHeight="1">
      <c r="A23" s="5"/>
      <c r="B23" s="11" t="s">
        <v>32</v>
      </c>
      <c r="C23" s="12">
        <f>H23/4</f>
        <v>0</v>
      </c>
      <c r="D23" s="12">
        <f>C23</f>
        <v>0</v>
      </c>
      <c r="E23" s="12">
        <f>D23</f>
        <v>0</v>
      </c>
      <c r="F23" s="12">
        <f>E23</f>
        <v>0</v>
      </c>
      <c r="G23" s="13"/>
      <c r="H23" s="12">
        <f>'Community Shares'!C10</f>
        <v>0</v>
      </c>
      <c r="I23" s="12">
        <f>'Community Shares'!D10</f>
        <v>-10369.5</v>
      </c>
      <c r="J23" s="12">
        <f>'Community Shares'!E10</f>
        <v>-10369.5</v>
      </c>
      <c r="K23" s="12">
        <f>'Community Shares'!F10</f>
        <v>-10369.5</v>
      </c>
      <c r="L23" s="12">
        <f>'Community Shares'!G10</f>
        <v>-10369.5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</row>
    <row r="24" spans="1:47" s="478" customFormat="1" ht="15.75" customHeight="1">
      <c r="A24" s="5"/>
      <c r="B24" s="11" t="s">
        <v>33</v>
      </c>
      <c r="C24" s="12">
        <f>-Mortgage!D67</f>
        <v>0</v>
      </c>
      <c r="D24" s="12">
        <f>-Mortgage!D71</f>
        <v>0</v>
      </c>
      <c r="E24" s="12">
        <f>-Mortgage!D75</f>
        <v>0</v>
      </c>
      <c r="F24" s="12">
        <f>-Mortgage!D79</f>
        <v>0</v>
      </c>
      <c r="G24" s="13"/>
      <c r="H24" s="12"/>
      <c r="I24" s="12">
        <f>-Mortgage!E15</f>
        <v>0</v>
      </c>
      <c r="J24" s="12">
        <f>-Mortgage!F15</f>
        <v>0</v>
      </c>
      <c r="K24" s="12">
        <f>-Mortgage!G15</f>
        <v>0</v>
      </c>
      <c r="L24" s="12">
        <f>-Mortgage!H15</f>
        <v>0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</row>
    <row r="25" spans="1:47" s="478" customFormat="1" ht="15.75" customHeight="1">
      <c r="A25" s="5"/>
      <c r="B25" s="8" t="s">
        <v>34</v>
      </c>
      <c r="C25" s="14">
        <f t="shared" ref="C25:F25" si="5">SUM(C23:C24)</f>
        <v>0</v>
      </c>
      <c r="D25" s="14">
        <f t="shared" si="5"/>
        <v>0</v>
      </c>
      <c r="E25" s="14">
        <f t="shared" si="5"/>
        <v>0</v>
      </c>
      <c r="F25" s="14">
        <f t="shared" si="5"/>
        <v>0</v>
      </c>
      <c r="G25" s="13"/>
      <c r="H25" s="14">
        <f t="shared" ref="H25:L25" si="6">SUM(H23:H24)</f>
        <v>0</v>
      </c>
      <c r="I25" s="14">
        <f t="shared" si="6"/>
        <v>-10369.5</v>
      </c>
      <c r="J25" s="14">
        <f t="shared" si="6"/>
        <v>-10369.5</v>
      </c>
      <c r="K25" s="14">
        <f t="shared" si="6"/>
        <v>-10369.5</v>
      </c>
      <c r="L25" s="14">
        <f t="shared" si="6"/>
        <v>-10369.5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</row>
    <row r="26" spans="1:47" s="478" customFormat="1" ht="15.75" customHeight="1">
      <c r="A26" s="5"/>
      <c r="B26"/>
      <c r="C26" s="12"/>
      <c r="D26" s="12"/>
      <c r="E26" s="12"/>
      <c r="F26" s="12"/>
      <c r="G26" s="13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</row>
    <row r="27" spans="1:47" s="478" customFormat="1" ht="15.75" customHeight="1">
      <c r="A27" s="5"/>
      <c r="B27" s="8" t="s">
        <v>35</v>
      </c>
      <c r="C27" s="12"/>
      <c r="D27" s="12"/>
      <c r="E27" s="12"/>
      <c r="F27" s="12"/>
      <c r="G27" s="13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</row>
    <row r="28" spans="1:47" s="478" customFormat="1" ht="15.75" customHeight="1">
      <c r="A28" s="5"/>
      <c r="B28" s="11" t="s">
        <v>393</v>
      </c>
      <c r="C28" s="12">
        <f>H28</f>
        <v>0</v>
      </c>
      <c r="D28" s="12"/>
      <c r="E28" s="12"/>
      <c r="F28" s="12"/>
      <c r="G28" s="1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</row>
    <row r="29" spans="1:47" s="478" customFormat="1" ht="15.75" customHeight="1">
      <c r="A29" s="5"/>
      <c r="B29" s="11" t="s">
        <v>36</v>
      </c>
      <c r="C29" s="12">
        <f>H29</f>
        <v>0</v>
      </c>
      <c r="D29" s="12"/>
      <c r="E29" s="12"/>
      <c r="F29" s="12"/>
      <c r="G29" s="13"/>
      <c r="H29" s="12">
        <f>-'Start Up Costs'!J7</f>
        <v>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</row>
    <row r="30" spans="1:47" s="478" customFormat="1" ht="15.75" customHeight="1">
      <c r="A30" s="5"/>
      <c r="B30" s="8" t="s">
        <v>37</v>
      </c>
      <c r="C30" s="14">
        <f t="shared" ref="C30:F30" si="7">SUM(C28:C29)</f>
        <v>0</v>
      </c>
      <c r="D30" s="14">
        <f t="shared" si="7"/>
        <v>0</v>
      </c>
      <c r="E30" s="14">
        <f t="shared" si="7"/>
        <v>0</v>
      </c>
      <c r="F30" s="14">
        <f t="shared" si="7"/>
        <v>0</v>
      </c>
      <c r="G30" s="13"/>
      <c r="H30" s="14">
        <f t="shared" ref="H30:L30" si="8">SUM(H28:H29)</f>
        <v>0</v>
      </c>
      <c r="I30" s="14">
        <f t="shared" si="8"/>
        <v>0</v>
      </c>
      <c r="J30" s="14">
        <f t="shared" si="8"/>
        <v>0</v>
      </c>
      <c r="K30" s="14">
        <f t="shared" si="8"/>
        <v>0</v>
      </c>
      <c r="L30" s="14">
        <f t="shared" si="8"/>
        <v>0</v>
      </c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</row>
    <row r="31" spans="1:47" s="478" customFormat="1" ht="15.75" customHeight="1">
      <c r="A31" s="5"/>
      <c r="B31"/>
      <c r="C31" s="12"/>
      <c r="D31" s="12"/>
      <c r="E31" s="12"/>
      <c r="F31" s="12"/>
      <c r="G31" s="13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</row>
    <row r="32" spans="1:47" s="478" customFormat="1" ht="15.75" customHeight="1">
      <c r="A32" s="5"/>
      <c r="B32" s="195" t="s">
        <v>27</v>
      </c>
      <c r="C32" s="14">
        <f>C20+C25+C30</f>
        <v>-13958.734899999999</v>
      </c>
      <c r="D32" s="14">
        <f t="shared" ref="D32:L32" si="9">D20+D25+D30</f>
        <v>3691.2650999999996</v>
      </c>
      <c r="E32" s="14">
        <f t="shared" si="9"/>
        <v>3691.2650999999996</v>
      </c>
      <c r="F32" s="14">
        <f t="shared" si="9"/>
        <v>3691.2650999999996</v>
      </c>
      <c r="G32" s="13"/>
      <c r="H32" s="14">
        <f t="shared" si="9"/>
        <v>-2884.9395999999979</v>
      </c>
      <c r="I32" s="14">
        <f t="shared" ca="1" si="9"/>
        <v>5339.5215432000005</v>
      </c>
      <c r="J32" s="14">
        <f t="shared" ca="1" si="9"/>
        <v>6014.8477194695952</v>
      </c>
      <c r="K32" s="14">
        <f t="shared" ca="1" si="9"/>
        <v>6724.9631268040466</v>
      </c>
      <c r="L32" s="14">
        <f t="shared" ca="1" si="9"/>
        <v>7471.320904390479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</row>
    <row r="33" spans="1:47" s="478" customFormat="1" ht="15.75" customHeight="1">
      <c r="A33" s="5"/>
      <c r="B33" s="146" t="s">
        <v>39</v>
      </c>
      <c r="C33" s="12">
        <f ca="1">Tax!C17</f>
        <v>0</v>
      </c>
      <c r="D33" s="12">
        <f ca="1">Tax!D17</f>
        <v>0</v>
      </c>
      <c r="E33" s="12">
        <f ca="1">Tax!E17</f>
        <v>0</v>
      </c>
      <c r="F33" s="12">
        <f ca="1">Tax!F17</f>
        <v>0</v>
      </c>
      <c r="G33" s="13"/>
      <c r="H33" s="12">
        <f ca="1">Tax!H17</f>
        <v>0</v>
      </c>
      <c r="I33" s="12">
        <f ca="1">Tax!I17</f>
        <v>0</v>
      </c>
      <c r="J33" s="12">
        <f ca="1">Tax!J17</f>
        <v>0</v>
      </c>
      <c r="K33" s="12">
        <f ca="1">Tax!K17</f>
        <v>0</v>
      </c>
      <c r="L33" s="12">
        <f ca="1">Tax!L17</f>
        <v>-348.15226850084946</v>
      </c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</row>
    <row r="34" spans="1:47" s="478" customFormat="1" ht="15.75" customHeight="1">
      <c r="A34" s="5"/>
      <c r="B34" s="487" t="s">
        <v>38</v>
      </c>
      <c r="C34" s="488">
        <f t="shared" ref="C34:F34" ca="1" si="10">SUM(C32:C33)</f>
        <v>-13958.734899999999</v>
      </c>
      <c r="D34" s="488">
        <f t="shared" ca="1" si="10"/>
        <v>3691.2650999999996</v>
      </c>
      <c r="E34" s="488">
        <f t="shared" ca="1" si="10"/>
        <v>3691.2650999999996</v>
      </c>
      <c r="F34" s="488">
        <f t="shared" ca="1" si="10"/>
        <v>3691.2650999999996</v>
      </c>
      <c r="G34" s="13"/>
      <c r="H34" s="488">
        <f ca="1">SUM(C34:F34)</f>
        <v>-2884.9395999999997</v>
      </c>
      <c r="I34" s="488">
        <f t="shared" ref="I34:L34" ca="1" si="11">SUM(I32:I33)</f>
        <v>5339.5215432000005</v>
      </c>
      <c r="J34" s="488">
        <f t="shared" ca="1" si="11"/>
        <v>6014.8477194695952</v>
      </c>
      <c r="K34" s="488">
        <f t="shared" ca="1" si="11"/>
        <v>6724.9631268040466</v>
      </c>
      <c r="L34" s="488">
        <f t="shared" ca="1" si="11"/>
        <v>7123.1686358896295</v>
      </c>
      <c r="M34" s="488"/>
      <c r="N34" s="488"/>
      <c r="O34" s="488"/>
      <c r="P34" s="488"/>
      <c r="Q34" s="488"/>
      <c r="R34" s="488"/>
      <c r="S34" s="488"/>
      <c r="T34" s="488"/>
      <c r="U34" s="488"/>
      <c r="V34" s="488"/>
      <c r="W34" s="488"/>
      <c r="X34" s="488"/>
      <c r="Y34" s="488"/>
      <c r="Z34" s="488"/>
      <c r="AA34" s="488"/>
      <c r="AB34" s="488"/>
      <c r="AC34" s="488"/>
      <c r="AD34" s="488"/>
      <c r="AE34" s="488"/>
      <c r="AF34" s="488"/>
      <c r="AG34" s="488"/>
      <c r="AH34" s="488"/>
      <c r="AI34" s="488"/>
      <c r="AJ34" s="488"/>
      <c r="AK34" s="488"/>
      <c r="AL34" s="488"/>
      <c r="AM34" s="488"/>
      <c r="AN34" s="488"/>
      <c r="AO34" s="488"/>
      <c r="AP34" s="488"/>
      <c r="AQ34" s="488"/>
      <c r="AR34" s="488"/>
      <c r="AS34" s="488"/>
      <c r="AT34" s="488"/>
      <c r="AU34" s="488"/>
    </row>
    <row r="35" spans="1:47" s="478" customFormat="1" ht="15.75" customHeight="1">
      <c r="A35" s="5"/>
      <c r="B35" s="477"/>
      <c r="C35" s="12"/>
      <c r="D35" s="12"/>
      <c r="E35" s="12"/>
      <c r="F35" s="12"/>
      <c r="G35" s="1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</row>
    <row r="36" spans="1:47" ht="15.75" customHeight="1">
      <c r="A36" s="5"/>
      <c r="B36" s="195" t="s">
        <v>340</v>
      </c>
      <c r="C36" s="12"/>
      <c r="D36" s="12"/>
      <c r="E36" s="12"/>
      <c r="F36" s="12"/>
      <c r="G36" s="13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</row>
    <row r="37" spans="1:47" ht="15.75" customHeight="1">
      <c r="A37" s="5"/>
      <c r="B37" s="481" t="str">
        <f>'Start Up Costs'!D4</f>
        <v>Land &amp; Buildings</v>
      </c>
      <c r="C37" s="12">
        <f ca="1">H37/4</f>
        <v>-750</v>
      </c>
      <c r="D37" s="12">
        <f ca="1">C37</f>
        <v>-750</v>
      </c>
      <c r="E37" s="12">
        <f t="shared" ref="E37:F37" ca="1" si="12">D37</f>
        <v>-750</v>
      </c>
      <c r="F37" s="12">
        <f t="shared" ca="1" si="12"/>
        <v>-750</v>
      </c>
      <c r="G37" s="13"/>
      <c r="H37" s="12">
        <f ca="1">-'Start Up Costs'!F4</f>
        <v>-3000</v>
      </c>
      <c r="I37" s="12">
        <f ca="1">'Balance Sheet'!I5-'Balance Sheet'!H5</f>
        <v>-3000</v>
      </c>
      <c r="J37" s="12">
        <f ca="1">'Balance Sheet'!J5-'Balance Sheet'!I5</f>
        <v>-3000</v>
      </c>
      <c r="K37" s="12">
        <f ca="1">'Balance Sheet'!K5-'Balance Sheet'!J5</f>
        <v>-3000</v>
      </c>
      <c r="L37" s="12">
        <f ca="1">'Balance Sheet'!L5-'Balance Sheet'!K5</f>
        <v>-3000</v>
      </c>
      <c r="M37" s="12">
        <f ca="1">IF(M2&lt;='Start Up Costs'!$E$4,L37,0)</f>
        <v>-3000</v>
      </c>
      <c r="N37" s="12">
        <f ca="1">IF(N2&lt;='Start Up Costs'!$E$4,M37,0)</f>
        <v>-3000</v>
      </c>
      <c r="O37" s="12">
        <f ca="1">IF(O2&lt;='Start Up Costs'!$E$4,N37,0)</f>
        <v>-3000</v>
      </c>
      <c r="P37" s="12">
        <f ca="1">IF(P2&lt;='Start Up Costs'!$E$4,O37,0)</f>
        <v>-3000</v>
      </c>
      <c r="Q37" s="12">
        <f ca="1">IF(Q2&lt;='Start Up Costs'!$E$4,P37,0)</f>
        <v>-3000</v>
      </c>
      <c r="R37" s="12">
        <f ca="1">IF(R2&lt;='Start Up Costs'!$E$4,Q37,0)</f>
        <v>-3000</v>
      </c>
      <c r="S37" s="12">
        <f ca="1">IF(S2&lt;='Start Up Costs'!$E$4,R37,0)</f>
        <v>-3000</v>
      </c>
      <c r="T37" s="12">
        <f ca="1">IF(T2&lt;='Start Up Costs'!$E$4,S37,0)</f>
        <v>-3000</v>
      </c>
      <c r="U37" s="12">
        <f ca="1">IF(U2&lt;='Start Up Costs'!$E$4,T37,0)</f>
        <v>-3000</v>
      </c>
      <c r="V37" s="12">
        <f ca="1">IF(V2&lt;='Start Up Costs'!$E$4,U37,0)</f>
        <v>-3000</v>
      </c>
      <c r="W37" s="12">
        <f ca="1">IF(W2&lt;='Start Up Costs'!$E$4,V37,0)</f>
        <v>-3000</v>
      </c>
      <c r="X37" s="12">
        <f ca="1">IF(X2&lt;='Start Up Costs'!$E$4,W37,0)</f>
        <v>-3000</v>
      </c>
      <c r="Y37" s="12">
        <f ca="1">IF(Y2&lt;='Start Up Costs'!$E$4,X37,0)</f>
        <v>-3000</v>
      </c>
      <c r="Z37" s="12">
        <f ca="1">IF(Z2&lt;='Start Up Costs'!$E$4,Y37,0)</f>
        <v>-3000</v>
      </c>
      <c r="AA37" s="12">
        <f ca="1">IF(AA2&lt;='Start Up Costs'!$E$4,Z37,0)</f>
        <v>-3000</v>
      </c>
      <c r="AB37" s="12">
        <f ca="1">IF(AB2&lt;='Start Up Costs'!$E$4,AA37,0)</f>
        <v>-3000</v>
      </c>
      <c r="AC37" s="12">
        <f ca="1">IF(AC2&lt;='Start Up Costs'!$E$4,AB37,0)</f>
        <v>-3000</v>
      </c>
      <c r="AD37" s="12">
        <f ca="1">IF(AD2&lt;='Start Up Costs'!$E$4,AC37,0)</f>
        <v>-3000</v>
      </c>
      <c r="AE37" s="12">
        <f ca="1">IF(AE2&lt;='Start Up Costs'!$E$4,AD37,0)</f>
        <v>-3000</v>
      </c>
      <c r="AF37" s="12">
        <f ca="1">IF(AF2&lt;='Start Up Costs'!$E$4,AE37,0)</f>
        <v>-3000</v>
      </c>
      <c r="AG37" s="12">
        <f ca="1">IF(AG2&lt;='Start Up Costs'!$E$4,AF37,0)</f>
        <v>-3000</v>
      </c>
      <c r="AH37" s="12">
        <f ca="1">IF(AH2&lt;='Start Up Costs'!$E$4,AG37,0)</f>
        <v>-3000</v>
      </c>
      <c r="AI37" s="12">
        <f ca="1">IF(AI2&lt;='Start Up Costs'!$E$4,AH37,0)</f>
        <v>-3000</v>
      </c>
      <c r="AJ37" s="12">
        <f ca="1">IF(AJ2&lt;='Start Up Costs'!$E$4,AI37,0)</f>
        <v>-3000</v>
      </c>
      <c r="AK37" s="12">
        <f ca="1">IF(AK2&lt;='Start Up Costs'!$E$4,AJ37,0)</f>
        <v>-3000</v>
      </c>
      <c r="AL37" s="12">
        <f ca="1">IF(AL2&lt;='Start Up Costs'!$E$4,AK37,0)</f>
        <v>-3000</v>
      </c>
      <c r="AM37" s="12">
        <f ca="1">IF(AM2&lt;='Start Up Costs'!$E$4,AL37,0)</f>
        <v>-3000</v>
      </c>
      <c r="AN37" s="12">
        <f ca="1">IF(AN2&lt;='Start Up Costs'!$E$4,AM37,0)</f>
        <v>-3000</v>
      </c>
      <c r="AO37" s="12">
        <f ca="1">IF(AO2&lt;='Start Up Costs'!$E$4,AN37,0)</f>
        <v>-3000</v>
      </c>
      <c r="AP37" s="12">
        <f ca="1">IF(AP2&lt;='Start Up Costs'!$E$4,AO37,0)</f>
        <v>-3000</v>
      </c>
      <c r="AQ37" s="12">
        <f ca="1">IF(AQ2&lt;='Start Up Costs'!$E$4,AP37,0)</f>
        <v>-3000</v>
      </c>
      <c r="AR37" s="12">
        <f ca="1">IF(AR2&lt;='Start Up Costs'!$E$4,AQ37,0)</f>
        <v>-3000</v>
      </c>
      <c r="AS37" s="12">
        <f ca="1">IF(AS2&lt;='Start Up Costs'!$E$4,AR37,0)</f>
        <v>-3000</v>
      </c>
      <c r="AT37" s="12">
        <f ca="1">IF(AT2&lt;='Start Up Costs'!$E$4,AS37,0)</f>
        <v>-3000</v>
      </c>
      <c r="AU37" s="12">
        <f ca="1">IF(AU2&lt;='Start Up Costs'!$E$4,AT37,0)</f>
        <v>-3000</v>
      </c>
    </row>
    <row r="38" spans="1:47" ht="15.75" customHeight="1">
      <c r="A38" s="5"/>
      <c r="B38" s="481" t="str">
        <f>'Start Up Costs'!D5</f>
        <v>Fixtures and Fittings</v>
      </c>
      <c r="C38" s="560">
        <f ca="1">H38/4</f>
        <v>-41.666666666666664</v>
      </c>
      <c r="D38" s="560">
        <f ca="1">C38</f>
        <v>-41.666666666666664</v>
      </c>
      <c r="E38" s="560">
        <f t="shared" ref="E38:F38" ca="1" si="13">D38</f>
        <v>-41.666666666666664</v>
      </c>
      <c r="F38" s="560">
        <f t="shared" ca="1" si="13"/>
        <v>-41.666666666666664</v>
      </c>
      <c r="G38" s="13"/>
      <c r="H38" s="560">
        <f ca="1">-'Start Up Costs'!F5</f>
        <v>-166.66666666666666</v>
      </c>
      <c r="I38" s="560">
        <f ca="1">'Balance Sheet'!I8-'Balance Sheet'!H8</f>
        <v>-166.66666666666697</v>
      </c>
      <c r="J38" s="560">
        <f ca="1">'Balance Sheet'!J8-'Balance Sheet'!I8</f>
        <v>-166.66666666666697</v>
      </c>
      <c r="K38" s="560">
        <f ca="1">'Balance Sheet'!K8-'Balance Sheet'!J8</f>
        <v>-166.66666666666697</v>
      </c>
      <c r="L38" s="560">
        <f ca="1">'Balance Sheet'!L8-'Balance Sheet'!K8</f>
        <v>-166.66666666666697</v>
      </c>
      <c r="M38" s="560">
        <f ca="1">IF(M2&lt;='Start Up Costs'!$E$5,L38,0)</f>
        <v>-166.66666666666697</v>
      </c>
      <c r="N38" s="560">
        <f ca="1">IF(N2&lt;='Start Up Costs'!$E$5,M38,0)</f>
        <v>-166.66666666666697</v>
      </c>
      <c r="O38" s="560">
        <f ca="1">IF(O2&lt;='Start Up Costs'!$E$5,N38,0)</f>
        <v>-166.66666666666697</v>
      </c>
      <c r="P38" s="560">
        <f ca="1">IF(P2&lt;='Start Up Costs'!$E$5,O38,0)</f>
        <v>-166.66666666666697</v>
      </c>
      <c r="Q38" s="560">
        <f ca="1">IF(Q2&lt;='Start Up Costs'!$E$5,P38,0)</f>
        <v>-166.66666666666697</v>
      </c>
      <c r="R38" s="560">
        <f ca="1">IF(R2&lt;='Start Up Costs'!$E$5,Q38,0)</f>
        <v>-166.66666666666697</v>
      </c>
      <c r="S38" s="560">
        <f ca="1">IF(S2&lt;='Start Up Costs'!$E$5,R38,0)</f>
        <v>-166.66666666666697</v>
      </c>
      <c r="T38" s="560">
        <f ca="1">IF(T2&lt;='Start Up Costs'!$E$5,S38,0)</f>
        <v>-166.66666666666697</v>
      </c>
      <c r="U38" s="560">
        <f ca="1">IF(U2&lt;='Start Up Costs'!$E$5,T38,0)</f>
        <v>-166.66666666666697</v>
      </c>
      <c r="V38" s="560">
        <f ca="1">IF(V2&lt;='Start Up Costs'!$E$5,U38,0)</f>
        <v>-166.66666666666697</v>
      </c>
      <c r="W38" s="560">
        <f ca="1">IF(W2&lt;='Start Up Costs'!$E$5,V38,0)</f>
        <v>-166.66666666666697</v>
      </c>
      <c r="X38" s="560">
        <f ca="1">IF(X2&lt;='Start Up Costs'!$E$5,W38,0)</f>
        <v>-166.66666666666697</v>
      </c>
      <c r="Y38" s="560">
        <f ca="1">IF(Y2&lt;='Start Up Costs'!$E$5,X38,0)</f>
        <v>-166.66666666666697</v>
      </c>
      <c r="Z38" s="560">
        <f ca="1">IF(Z2&lt;='Start Up Costs'!$E$5,Y38,0)</f>
        <v>-166.66666666666697</v>
      </c>
      <c r="AA38" s="560">
        <f ca="1">IF(AA2&lt;='Start Up Costs'!$E$5,Z38,0)</f>
        <v>-166.66666666666697</v>
      </c>
      <c r="AB38" s="560">
        <f ca="1">IF(AB2&lt;='Start Up Costs'!$E$5,AA38,0)</f>
        <v>-166.66666666666697</v>
      </c>
      <c r="AC38" s="560">
        <f ca="1">IF(AC2&lt;='Start Up Costs'!$E$5,AB38,0)</f>
        <v>-166.66666666666697</v>
      </c>
      <c r="AD38" s="560">
        <f ca="1">IF(AD2&lt;='Start Up Costs'!$E$5,AC38,0)</f>
        <v>-166.66666666666697</v>
      </c>
      <c r="AE38" s="560">
        <f ca="1">IF(AE2&lt;='Start Up Costs'!$E$5,AD38,0)</f>
        <v>-166.66666666666697</v>
      </c>
      <c r="AF38" s="560">
        <f ca="1">IF(AF2&lt;='Start Up Costs'!$E$5,AE38,0)</f>
        <v>-166.66666666666697</v>
      </c>
      <c r="AG38" s="560">
        <f ca="1">IF(AG2&lt;='Start Up Costs'!$E$5,AF38,0)</f>
        <v>-166.66666666666697</v>
      </c>
      <c r="AH38" s="560">
        <f ca="1">IF(AH2&lt;='Start Up Costs'!$E$5,AG38,0)</f>
        <v>-166.66666666666697</v>
      </c>
      <c r="AI38" s="560">
        <f ca="1">IF(AI2&lt;='Start Up Costs'!$E$5,AH38,0)</f>
        <v>-166.66666666666697</v>
      </c>
      <c r="AJ38" s="560">
        <f ca="1">IF(AJ2&lt;='Start Up Costs'!$E$5,AI38,0)</f>
        <v>-166.66666666666697</v>
      </c>
      <c r="AK38" s="560">
        <f ca="1">IF(AK2&lt;='Start Up Costs'!$E$5,AJ38,0)</f>
        <v>-166.66666666666697</v>
      </c>
      <c r="AL38" s="560">
        <f>IF(AL2&lt;='Start Up Costs'!$E$5,AK38,0)</f>
        <v>0</v>
      </c>
      <c r="AM38" s="560">
        <f>IF(AM2&lt;='Start Up Costs'!$E$5,AL38,0)</f>
        <v>0</v>
      </c>
      <c r="AN38" s="560">
        <f>IF(AN2&lt;='Start Up Costs'!$E$5,AM38,0)</f>
        <v>0</v>
      </c>
      <c r="AO38" s="560">
        <f>IF(AO2&lt;='Start Up Costs'!$E$5,AN38,0)</f>
        <v>0</v>
      </c>
      <c r="AP38" s="560">
        <f>IF(AP2&lt;='Start Up Costs'!$E$5,AO38,0)</f>
        <v>0</v>
      </c>
      <c r="AQ38" s="560">
        <f>IF(AQ2&lt;='Start Up Costs'!$E$5,AP38,0)</f>
        <v>0</v>
      </c>
      <c r="AR38" s="560">
        <f>IF(AR2&lt;='Start Up Costs'!$E$5,AQ38,0)</f>
        <v>0</v>
      </c>
      <c r="AS38" s="560">
        <f>IF(AS2&lt;='Start Up Costs'!$E$5,AR38,0)</f>
        <v>0</v>
      </c>
      <c r="AT38" s="560">
        <f>IF(AT2&lt;='Start Up Costs'!$E$5,AS38,0)</f>
        <v>0</v>
      </c>
      <c r="AU38" s="560">
        <f>IF(AU2&lt;='Start Up Costs'!$E$5,AT38,0)</f>
        <v>0</v>
      </c>
    </row>
    <row r="39" spans="1:47" ht="15.75" customHeight="1">
      <c r="A39" s="5"/>
      <c r="B39" s="481" t="s">
        <v>350</v>
      </c>
      <c r="C39" s="12">
        <f ca="1">C38+C37</f>
        <v>-791.66666666666663</v>
      </c>
      <c r="D39" s="12">
        <f t="shared" ref="D39:F39" ca="1" si="14">D38+D37</f>
        <v>-791.66666666666663</v>
      </c>
      <c r="E39" s="12">
        <f t="shared" ca="1" si="14"/>
        <v>-791.66666666666663</v>
      </c>
      <c r="F39" s="12">
        <f t="shared" ca="1" si="14"/>
        <v>-791.66666666666663</v>
      </c>
      <c r="G39" s="13"/>
      <c r="H39" s="12">
        <f ca="1">SUM(C39:G39)</f>
        <v>-3166.6666666666665</v>
      </c>
      <c r="I39" s="12">
        <f ca="1">I38+I37</f>
        <v>-3166.666666666667</v>
      </c>
      <c r="J39" s="12">
        <f t="shared" ref="J39:M39" ca="1" si="15">J38+J37</f>
        <v>-3166.666666666667</v>
      </c>
      <c r="K39" s="12">
        <f t="shared" ca="1" si="15"/>
        <v>-3166.666666666667</v>
      </c>
      <c r="L39" s="12">
        <f t="shared" ca="1" si="15"/>
        <v>-3166.666666666667</v>
      </c>
      <c r="M39" s="12">
        <f t="shared" ca="1" si="15"/>
        <v>-3166.666666666667</v>
      </c>
      <c r="N39" s="12">
        <f t="shared" ref="N39" ca="1" si="16">N38+N37</f>
        <v>-3166.666666666667</v>
      </c>
      <c r="O39" s="12">
        <f t="shared" ref="O39" ca="1" si="17">O38+O37</f>
        <v>-3166.666666666667</v>
      </c>
      <c r="P39" s="12">
        <f t="shared" ref="P39" ca="1" si="18">P38+P37</f>
        <v>-3166.666666666667</v>
      </c>
      <c r="Q39" s="12">
        <f t="shared" ref="Q39" ca="1" si="19">Q38+Q37</f>
        <v>-3166.666666666667</v>
      </c>
      <c r="R39" s="12">
        <f t="shared" ref="R39" ca="1" si="20">R38+R37</f>
        <v>-3166.666666666667</v>
      </c>
      <c r="S39" s="12">
        <f t="shared" ref="S39" ca="1" si="21">S38+S37</f>
        <v>-3166.666666666667</v>
      </c>
      <c r="T39" s="12">
        <f t="shared" ref="T39" ca="1" si="22">T38+T37</f>
        <v>-3166.666666666667</v>
      </c>
      <c r="U39" s="12">
        <f t="shared" ref="U39" ca="1" si="23">U38+U37</f>
        <v>-3166.666666666667</v>
      </c>
      <c r="V39" s="12">
        <f t="shared" ref="V39" ca="1" si="24">V38+V37</f>
        <v>-3166.666666666667</v>
      </c>
      <c r="W39" s="12">
        <f t="shared" ref="W39" ca="1" si="25">W38+W37</f>
        <v>-3166.666666666667</v>
      </c>
      <c r="X39" s="12">
        <f t="shared" ref="X39" ca="1" si="26">X38+X37</f>
        <v>-3166.666666666667</v>
      </c>
      <c r="Y39" s="12">
        <f t="shared" ref="Y39" ca="1" si="27">Y38+Y37</f>
        <v>-3166.666666666667</v>
      </c>
      <c r="Z39" s="12">
        <f t="shared" ref="Z39" ca="1" si="28">Z38+Z37</f>
        <v>-3166.666666666667</v>
      </c>
      <c r="AA39" s="12">
        <f t="shared" ref="AA39" ca="1" si="29">AA38+AA37</f>
        <v>-3166.666666666667</v>
      </c>
      <c r="AB39" s="12">
        <f t="shared" ref="AB39" ca="1" si="30">AB38+AB37</f>
        <v>-3166.666666666667</v>
      </c>
      <c r="AC39" s="12">
        <f t="shared" ref="AC39" ca="1" si="31">AC38+AC37</f>
        <v>-3166.666666666667</v>
      </c>
      <c r="AD39" s="12">
        <f t="shared" ref="AD39" ca="1" si="32">AD38+AD37</f>
        <v>-3166.666666666667</v>
      </c>
      <c r="AE39" s="12">
        <f t="shared" ref="AE39" ca="1" si="33">AE38+AE37</f>
        <v>-3166.666666666667</v>
      </c>
      <c r="AF39" s="12">
        <f t="shared" ref="AF39" ca="1" si="34">AF38+AF37</f>
        <v>-3166.666666666667</v>
      </c>
      <c r="AG39" s="12">
        <f t="shared" ref="AG39" ca="1" si="35">AG38+AG37</f>
        <v>-3166.666666666667</v>
      </c>
      <c r="AH39" s="12">
        <f t="shared" ref="AH39" ca="1" si="36">AH38+AH37</f>
        <v>-3166.666666666667</v>
      </c>
      <c r="AI39" s="12">
        <f t="shared" ref="AI39" ca="1" si="37">AI38+AI37</f>
        <v>-3166.666666666667</v>
      </c>
      <c r="AJ39" s="12">
        <f t="shared" ref="AJ39" ca="1" si="38">AJ38+AJ37</f>
        <v>-3166.666666666667</v>
      </c>
      <c r="AK39" s="12">
        <f t="shared" ref="AK39" ca="1" si="39">AK38+AK37</f>
        <v>-3166.666666666667</v>
      </c>
      <c r="AL39" s="12">
        <f t="shared" ref="AL39" ca="1" si="40">AL38+AL37</f>
        <v>-3000</v>
      </c>
      <c r="AM39" s="12">
        <f t="shared" ref="AM39" ca="1" si="41">AM38+AM37</f>
        <v>-3000</v>
      </c>
      <c r="AN39" s="12">
        <f t="shared" ref="AN39" ca="1" si="42">AN38+AN37</f>
        <v>-3000</v>
      </c>
      <c r="AO39" s="12">
        <f t="shared" ref="AO39" ca="1" si="43">AO38+AO37</f>
        <v>-3000</v>
      </c>
      <c r="AP39" s="12">
        <f t="shared" ref="AP39" ca="1" si="44">AP38+AP37</f>
        <v>-3000</v>
      </c>
      <c r="AQ39" s="12">
        <f t="shared" ref="AQ39" ca="1" si="45">AQ38+AQ37</f>
        <v>-3000</v>
      </c>
      <c r="AR39" s="12">
        <f t="shared" ref="AR39" ca="1" si="46">AR38+AR37</f>
        <v>-3000</v>
      </c>
      <c r="AS39" s="12">
        <f t="shared" ref="AS39" ca="1" si="47">AS38+AS37</f>
        <v>-3000</v>
      </c>
      <c r="AT39" s="12">
        <f t="shared" ref="AT39" ca="1" si="48">AT38+AT37</f>
        <v>-3000</v>
      </c>
      <c r="AU39" s="12">
        <f t="shared" ref="AU39" ca="1" si="49">AU38+AU37</f>
        <v>-3000</v>
      </c>
    </row>
    <row r="40" spans="1:47" ht="15.75" customHeight="1">
      <c r="A40" s="5"/>
      <c r="B40" s="481" t="str">
        <f>'Start Up Costs'!D10</f>
        <v>Property Appreciation</v>
      </c>
      <c r="C40" s="12">
        <f>D40</f>
        <v>1906.25</v>
      </c>
      <c r="D40" s="12">
        <f>E40</f>
        <v>1906.25</v>
      </c>
      <c r="E40" s="12">
        <f>F40</f>
        <v>1906.25</v>
      </c>
      <c r="F40" s="12">
        <f>H40/4</f>
        <v>1906.25</v>
      </c>
      <c r="G40" s="5"/>
      <c r="H40" s="12">
        <f>'Balance Sheet'!H15</f>
        <v>7625</v>
      </c>
      <c r="I40" s="12">
        <f>'Balance Sheet'!I15</f>
        <v>7815.625</v>
      </c>
      <c r="J40" s="12">
        <f>'Balance Sheet'!J15</f>
        <v>8011.015625</v>
      </c>
      <c r="K40" s="12">
        <f>'Balance Sheet'!K15</f>
        <v>8211.2910156249418</v>
      </c>
      <c r="L40" s="12">
        <f>'Balance Sheet'!L15</f>
        <v>8416.5732910155784</v>
      </c>
      <c r="M40" s="12">
        <f>'Balance Sheet'!M15</f>
        <v>0</v>
      </c>
      <c r="N40" s="12">
        <f>'Balance Sheet'!N15</f>
        <v>0</v>
      </c>
      <c r="O40" s="12">
        <f>'Balance Sheet'!O15</f>
        <v>0</v>
      </c>
      <c r="P40" s="12">
        <f>'Balance Sheet'!P15</f>
        <v>0</v>
      </c>
      <c r="Q40" s="12">
        <f>'Balance Sheet'!Q15</f>
        <v>0</v>
      </c>
      <c r="R40" s="12">
        <f>'Balance Sheet'!R15</f>
        <v>0</v>
      </c>
      <c r="S40" s="12">
        <f>'Balance Sheet'!S15</f>
        <v>0</v>
      </c>
      <c r="T40" s="12">
        <f>'Balance Sheet'!T15</f>
        <v>0</v>
      </c>
      <c r="U40" s="12">
        <f>'Balance Sheet'!U15</f>
        <v>0</v>
      </c>
      <c r="V40" s="12">
        <f>'Balance Sheet'!V15</f>
        <v>0</v>
      </c>
      <c r="W40" s="12">
        <f>'Balance Sheet'!W15</f>
        <v>0</v>
      </c>
      <c r="X40" s="12">
        <f>'Balance Sheet'!X15</f>
        <v>0</v>
      </c>
      <c r="Y40" s="12">
        <f>'Balance Sheet'!Y15</f>
        <v>0</v>
      </c>
      <c r="Z40" s="12">
        <f>'Balance Sheet'!Z15</f>
        <v>0</v>
      </c>
      <c r="AA40" s="12">
        <f>'Balance Sheet'!AA15</f>
        <v>0</v>
      </c>
      <c r="AB40" s="12">
        <f>'Balance Sheet'!AB15</f>
        <v>0</v>
      </c>
      <c r="AC40" s="12">
        <f>'Balance Sheet'!AC15</f>
        <v>0</v>
      </c>
      <c r="AD40" s="12">
        <f>'Balance Sheet'!AD15</f>
        <v>0</v>
      </c>
      <c r="AE40" s="12">
        <f>'Balance Sheet'!AE15</f>
        <v>0</v>
      </c>
      <c r="AF40" s="12">
        <f>'Balance Sheet'!AF15</f>
        <v>0</v>
      </c>
      <c r="AG40" s="12">
        <f>'Balance Sheet'!AG15</f>
        <v>0</v>
      </c>
      <c r="AH40" s="12">
        <f>'Balance Sheet'!AH15</f>
        <v>0</v>
      </c>
      <c r="AI40" s="12">
        <f>'Balance Sheet'!AI15</f>
        <v>0</v>
      </c>
      <c r="AJ40" s="12">
        <f>'Balance Sheet'!AJ15</f>
        <v>0</v>
      </c>
      <c r="AK40" s="12">
        <f>'Balance Sheet'!AK15</f>
        <v>0</v>
      </c>
      <c r="AL40" s="12">
        <f>'Balance Sheet'!AL15</f>
        <v>0</v>
      </c>
      <c r="AM40" s="12">
        <f>'Balance Sheet'!AM15</f>
        <v>0</v>
      </c>
      <c r="AN40" s="12">
        <f>'Balance Sheet'!AN15</f>
        <v>0</v>
      </c>
      <c r="AO40" s="12">
        <f>'Balance Sheet'!AO15</f>
        <v>0</v>
      </c>
      <c r="AP40" s="12">
        <f>'Balance Sheet'!AP15</f>
        <v>0</v>
      </c>
      <c r="AQ40" s="12">
        <f>'Balance Sheet'!AQ15</f>
        <v>0</v>
      </c>
      <c r="AR40" s="12">
        <f>'Balance Sheet'!AR15</f>
        <v>0</v>
      </c>
      <c r="AS40" s="12">
        <f>'Balance Sheet'!AS15</f>
        <v>0</v>
      </c>
      <c r="AT40" s="12">
        <f>'Balance Sheet'!AT15</f>
        <v>0</v>
      </c>
      <c r="AU40" s="12">
        <f>'Balance Sheet'!AU15</f>
        <v>0</v>
      </c>
    </row>
    <row r="41" spans="1:47" ht="15.75" customHeight="1" thickBot="1">
      <c r="A41" s="5"/>
      <c r="B41" s="195" t="s">
        <v>338</v>
      </c>
      <c r="C41" s="14">
        <f ca="1">SUM(C39:C40)</f>
        <v>1114.5833333333335</v>
      </c>
      <c r="D41" s="14">
        <f t="shared" ref="D41:F41" ca="1" si="50">SUM(D39:D40)</f>
        <v>1114.5833333333335</v>
      </c>
      <c r="E41" s="14">
        <f t="shared" ca="1" si="50"/>
        <v>1114.5833333333335</v>
      </c>
      <c r="F41" s="14">
        <f t="shared" ca="1" si="50"/>
        <v>1114.5833333333335</v>
      </c>
      <c r="G41" s="5"/>
      <c r="H41" s="14">
        <f ca="1">SUM(H39:H40)</f>
        <v>4458.3333333333339</v>
      </c>
      <c r="I41" s="14">
        <f t="shared" ref="I41:L41" ca="1" si="51">SUM(I39:I40)</f>
        <v>4648.958333333333</v>
      </c>
      <c r="J41" s="14">
        <f t="shared" ca="1" si="51"/>
        <v>4844.348958333333</v>
      </c>
      <c r="K41" s="14">
        <f t="shared" ca="1" si="51"/>
        <v>5044.6243489582748</v>
      </c>
      <c r="L41" s="14">
        <f t="shared" ca="1" si="51"/>
        <v>5249.9066243489115</v>
      </c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</row>
    <row r="42" spans="1:47" ht="15.75" customHeight="1" thickTop="1">
      <c r="A42" s="5"/>
      <c r="B42" s="5"/>
      <c r="C42" s="17"/>
      <c r="D42" s="17"/>
      <c r="E42" s="17"/>
      <c r="F42" s="17"/>
      <c r="G42" s="13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ht="15.75" customHeight="1"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47" ht="15.75" customHeight="1"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47" ht="15.75" customHeight="1"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47" ht="15.75" customHeight="1"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47" ht="15.75" customHeight="1"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47" ht="15.75" customHeight="1"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3:12" ht="15.75" customHeight="1"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3:12" ht="15.75" customHeight="1"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3:12" ht="15.75" customHeight="1"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3:12" ht="15.75" customHeight="1"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3:12" ht="15.75" customHeight="1"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3:12" ht="15.75" customHeight="1"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3:12" ht="15.75" customHeight="1"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3:12" ht="12.75"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3:12" ht="12.75"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3:12" ht="12.75"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3:12" ht="12.75"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3:12" ht="12.75"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3:12" ht="12.75"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3:12" ht="12.75"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3:12" ht="12.75"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3:12" ht="12.75"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3:12" ht="12.75"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3:12" ht="12.75"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3:12" ht="12.75">
      <c r="C67" s="12"/>
      <c r="D67" s="12"/>
      <c r="E67" s="12"/>
      <c r="F67" s="12"/>
      <c r="G67" s="12"/>
      <c r="H67" s="12"/>
      <c r="I67" s="12"/>
      <c r="J67" s="12"/>
      <c r="K67" s="12"/>
      <c r="L67" s="12"/>
    </row>
  </sheetData>
  <pageMargins left="0.39370078740157483" right="0.39370078740157483" top="0.39370078740157483" bottom="0.39370078740157483" header="0.31496062992125984" footer="0.31496062992125984"/>
  <pageSetup paperSize="9" scale="1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M94"/>
  <sheetViews>
    <sheetView topLeftCell="B1" zoomScale="80" zoomScaleNormal="80" workbookViewId="0">
      <selection activeCell="H22" sqref="H22"/>
    </sheetView>
  </sheetViews>
  <sheetFormatPr defaultColWidth="12.7109375" defaultRowHeight="15.75" customHeight="1"/>
  <cols>
    <col min="1" max="1" width="2.28515625" customWidth="1"/>
    <col min="2" max="2" width="35.7109375" customWidth="1"/>
    <col min="3" max="3" width="12.7109375" customWidth="1"/>
    <col min="7" max="7" width="2.28515625" customWidth="1"/>
    <col min="13" max="13" width="2.28515625" customWidth="1"/>
  </cols>
  <sheetData>
    <row r="1" spans="1:13" ht="15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.75" customHeight="1">
      <c r="A2" s="5"/>
      <c r="C2" s="6" t="str">
        <f>'P&amp;L'!C2</f>
        <v>Q1</v>
      </c>
      <c r="D2" s="6" t="str">
        <f>'P&amp;L'!D2</f>
        <v>Q2</v>
      </c>
      <c r="E2" s="6" t="str">
        <f>'P&amp;L'!E2</f>
        <v>Q3</v>
      </c>
      <c r="F2" s="6" t="str">
        <f>'P&amp;L'!F2</f>
        <v>Q4</v>
      </c>
      <c r="G2" s="7"/>
      <c r="H2" s="6" t="str">
        <f>'P&amp;L'!H2</f>
        <v>Year 1</v>
      </c>
      <c r="I2" s="6" t="str">
        <f>'P&amp;L'!I2</f>
        <v>Year 2</v>
      </c>
      <c r="J2" s="6" t="str">
        <f>'P&amp;L'!J2</f>
        <v>Year 3</v>
      </c>
      <c r="K2" s="6" t="str">
        <f>'P&amp;L'!K2</f>
        <v>Year 4</v>
      </c>
      <c r="L2" s="6" t="str">
        <f>'P&amp;L'!L2</f>
        <v>Year 5</v>
      </c>
      <c r="M2" s="5"/>
    </row>
    <row r="3" spans="1:13" ht="15.75" customHeight="1">
      <c r="A3" s="5"/>
      <c r="C3" s="6" t="str">
        <f>'P&amp;L'!C3</f>
        <v>(£)</v>
      </c>
      <c r="D3" s="6" t="str">
        <f>'P&amp;L'!D3</f>
        <v>(£)</v>
      </c>
      <c r="E3" s="6" t="str">
        <f>'P&amp;L'!E3</f>
        <v>(£)</v>
      </c>
      <c r="F3" s="6" t="str">
        <f>'P&amp;L'!F3</f>
        <v>(£)</v>
      </c>
      <c r="G3" s="7"/>
      <c r="H3" s="6" t="str">
        <f>'P&amp;L'!H3</f>
        <v>(£)</v>
      </c>
      <c r="I3" s="6" t="str">
        <f>'P&amp;L'!I3</f>
        <v>(£)</v>
      </c>
      <c r="J3" s="6" t="str">
        <f>'P&amp;L'!J3</f>
        <v>(£)</v>
      </c>
      <c r="K3" s="6" t="str">
        <f>'P&amp;L'!K3</f>
        <v>(£)</v>
      </c>
      <c r="L3" s="6" t="str">
        <f>'P&amp;L'!L3</f>
        <v>(£)</v>
      </c>
      <c r="M3" s="5"/>
    </row>
    <row r="4" spans="1:13" ht="15.75" customHeight="1">
      <c r="A4" s="5"/>
      <c r="B4" s="8" t="s">
        <v>40</v>
      </c>
      <c r="G4" s="5"/>
      <c r="M4" s="5"/>
    </row>
    <row r="5" spans="1:13" ht="15.75" customHeight="1">
      <c r="A5" s="5"/>
      <c r="B5" s="11" t="s">
        <v>38</v>
      </c>
      <c r="C5" s="12">
        <f>'P&amp;L'!C20</f>
        <v>-13958.734899999999</v>
      </c>
      <c r="D5" s="12">
        <f>'P&amp;L'!D20</f>
        <v>3691.2650999999996</v>
      </c>
      <c r="E5" s="12">
        <f>'P&amp;L'!E20</f>
        <v>3691.2650999999996</v>
      </c>
      <c r="F5" s="12">
        <f>'P&amp;L'!F20</f>
        <v>3691.2650999999996</v>
      </c>
      <c r="G5" s="13"/>
      <c r="H5" s="12">
        <f>'P&amp;L'!H20</f>
        <v>-2884.9395999999979</v>
      </c>
      <c r="I5" s="12">
        <f ca="1">'P&amp;L'!I20</f>
        <v>15709.0215432</v>
      </c>
      <c r="J5" s="12">
        <f ca="1">'P&amp;L'!J20</f>
        <v>16384.347719469595</v>
      </c>
      <c r="K5" s="12">
        <f ca="1">'P&amp;L'!K20</f>
        <v>17094.463126804047</v>
      </c>
      <c r="L5" s="12">
        <f ca="1">'P&amp;L'!L20</f>
        <v>17840.820904390479</v>
      </c>
      <c r="M5" s="5"/>
    </row>
    <row r="6" spans="1:13" ht="15.75" customHeight="1">
      <c r="A6" s="5"/>
      <c r="B6" s="16" t="s">
        <v>41</v>
      </c>
      <c r="C6" s="12"/>
      <c r="D6" s="12"/>
      <c r="E6" s="12"/>
      <c r="F6" s="12"/>
      <c r="G6" s="13"/>
      <c r="H6" s="12"/>
      <c r="I6" s="12"/>
      <c r="J6" s="12"/>
      <c r="K6" s="12"/>
      <c r="L6" s="12"/>
      <c r="M6" s="5"/>
    </row>
    <row r="7" spans="1:13" ht="15.75" customHeight="1">
      <c r="A7" s="5"/>
      <c r="B7" s="11" t="s">
        <v>43</v>
      </c>
      <c r="C7" s="12">
        <f ca="1">-'P&amp;L'!C33</f>
        <v>0</v>
      </c>
      <c r="D7" s="12">
        <f ca="1">-'P&amp;L'!D33</f>
        <v>0</v>
      </c>
      <c r="E7" s="12">
        <f ca="1">-'P&amp;L'!E33</f>
        <v>0</v>
      </c>
      <c r="F7" s="12">
        <f ca="1">-'P&amp;L'!F33</f>
        <v>0</v>
      </c>
      <c r="G7" s="13"/>
      <c r="H7" s="12">
        <f ca="1">-'P&amp;L'!H33</f>
        <v>0</v>
      </c>
      <c r="I7" s="12">
        <f ca="1">-'P&amp;L'!I33</f>
        <v>0</v>
      </c>
      <c r="J7" s="12">
        <f ca="1">-'P&amp;L'!J33</f>
        <v>0</v>
      </c>
      <c r="K7" s="12">
        <f ca="1">-'P&amp;L'!K33</f>
        <v>0</v>
      </c>
      <c r="L7" s="12">
        <f ca="1">-'P&amp;L'!L33</f>
        <v>348.15226850084946</v>
      </c>
      <c r="M7" s="5"/>
    </row>
    <row r="8" spans="1:13" ht="15.75" customHeight="1">
      <c r="A8" s="5"/>
      <c r="B8" s="11" t="s">
        <v>44</v>
      </c>
      <c r="C8" s="12">
        <f>-'P&amp;L'!C23</f>
        <v>0</v>
      </c>
      <c r="D8" s="12">
        <f>-'P&amp;L'!D23</f>
        <v>0</v>
      </c>
      <c r="E8" s="12">
        <f>-'P&amp;L'!E23</f>
        <v>0</v>
      </c>
      <c r="F8" s="12">
        <f>-'P&amp;L'!F23</f>
        <v>0</v>
      </c>
      <c r="G8" s="13"/>
      <c r="H8" s="12">
        <f>-'P&amp;L'!H23</f>
        <v>0</v>
      </c>
      <c r="I8" s="12">
        <f>-'P&amp;L'!I23</f>
        <v>10369.5</v>
      </c>
      <c r="J8" s="12">
        <f>-'P&amp;L'!J23</f>
        <v>10369.5</v>
      </c>
      <c r="K8" s="12">
        <f>-'P&amp;L'!K23</f>
        <v>10369.5</v>
      </c>
      <c r="L8" s="12">
        <f>-'P&amp;L'!L23</f>
        <v>10369.5</v>
      </c>
      <c r="M8" s="5"/>
    </row>
    <row r="9" spans="1:13" ht="15.75" customHeight="1">
      <c r="A9" s="5"/>
      <c r="B9" s="11" t="s">
        <v>45</v>
      </c>
      <c r="C9" s="12">
        <v>0</v>
      </c>
      <c r="D9" s="12">
        <v>0</v>
      </c>
      <c r="E9" s="12">
        <v>0</v>
      </c>
      <c r="F9" s="12">
        <v>0</v>
      </c>
      <c r="G9" s="13"/>
      <c r="H9" s="12">
        <f t="shared" ref="H9:H10" si="0">SUM(C9:F9)</f>
        <v>0</v>
      </c>
      <c r="I9" s="12">
        <v>0</v>
      </c>
      <c r="J9" s="12">
        <v>0</v>
      </c>
      <c r="K9" s="12">
        <v>0</v>
      </c>
      <c r="L9" s="12">
        <v>0</v>
      </c>
      <c r="M9" s="5"/>
    </row>
    <row r="10" spans="1:13" ht="15.75" customHeight="1">
      <c r="A10" s="5"/>
      <c r="B10" s="11" t="s">
        <v>46</v>
      </c>
      <c r="C10" s="12">
        <f>Mortgage!F3</f>
        <v>0</v>
      </c>
      <c r="D10" s="12">
        <v>0</v>
      </c>
      <c r="E10" s="12">
        <v>0</v>
      </c>
      <c r="F10" s="12">
        <v>0</v>
      </c>
      <c r="G10" s="13"/>
      <c r="H10" s="12">
        <f t="shared" si="0"/>
        <v>0</v>
      </c>
      <c r="I10" s="12">
        <v>0</v>
      </c>
      <c r="J10" s="12">
        <v>0</v>
      </c>
      <c r="K10" s="12">
        <v>0</v>
      </c>
      <c r="L10" s="12">
        <v>0</v>
      </c>
      <c r="M10" s="5"/>
    </row>
    <row r="11" spans="1:13" ht="15.75" customHeight="1">
      <c r="A11" s="5"/>
      <c r="B11" s="11" t="s">
        <v>47</v>
      </c>
      <c r="C11" s="12">
        <f>-'Balance Sheet'!C29-C15</f>
        <v>0</v>
      </c>
      <c r="D11" s="12">
        <f>-'Balance Sheet'!D29-C15</f>
        <v>0</v>
      </c>
      <c r="E11" s="12">
        <f>-'Balance Sheet'!E29</f>
        <v>0</v>
      </c>
      <c r="F11" s="12">
        <f>-'Balance Sheet'!F29</f>
        <v>0</v>
      </c>
      <c r="G11" s="13"/>
      <c r="H11" s="12">
        <f>-'Balance Sheet'!H29</f>
        <v>0</v>
      </c>
      <c r="I11" s="12">
        <f>-'Balance Sheet'!I29</f>
        <v>0</v>
      </c>
      <c r="J11" s="12">
        <f>-'Balance Sheet'!J29</f>
        <v>0</v>
      </c>
      <c r="K11" s="12">
        <f>-'Balance Sheet'!K29</f>
        <v>0</v>
      </c>
      <c r="L11" s="12">
        <f>-'Balance Sheet'!L29</f>
        <v>0</v>
      </c>
      <c r="M11" s="5"/>
    </row>
    <row r="12" spans="1:13" ht="15.75" customHeight="1">
      <c r="A12" s="5"/>
      <c r="B12" s="16" t="s">
        <v>48</v>
      </c>
      <c r="C12" s="12"/>
      <c r="D12" s="12"/>
      <c r="E12" s="12"/>
      <c r="F12" s="12"/>
      <c r="G12" s="13"/>
      <c r="H12" s="12"/>
      <c r="I12" s="12"/>
      <c r="J12" s="12"/>
      <c r="K12" s="12"/>
      <c r="L12" s="12"/>
      <c r="M12" s="5"/>
    </row>
    <row r="13" spans="1:13" ht="15.75" customHeight="1">
      <c r="A13" s="5"/>
      <c r="B13" s="11" t="s">
        <v>49</v>
      </c>
      <c r="C13" s="12">
        <v>0</v>
      </c>
      <c r="D13" s="12">
        <v>0</v>
      </c>
      <c r="E13" s="12">
        <v>0</v>
      </c>
      <c r="F13" s="12">
        <v>0</v>
      </c>
      <c r="G13" s="13"/>
      <c r="H13" s="12">
        <v>0</v>
      </c>
      <c r="I13" s="12">
        <f t="shared" ref="I13:L13" ca="1" si="1">-H7</f>
        <v>0</v>
      </c>
      <c r="J13" s="12">
        <f t="shared" ca="1" si="1"/>
        <v>0</v>
      </c>
      <c r="K13" s="12">
        <f t="shared" ca="1" si="1"/>
        <v>0</v>
      </c>
      <c r="L13" s="12">
        <f t="shared" ca="1" si="1"/>
        <v>0</v>
      </c>
      <c r="M13" s="5"/>
    </row>
    <row r="14" spans="1:13" ht="15.75" customHeight="1">
      <c r="A14" s="5"/>
      <c r="B14" s="11" t="s">
        <v>50</v>
      </c>
      <c r="C14" s="12">
        <v>0</v>
      </c>
      <c r="D14" s="12">
        <v>0</v>
      </c>
      <c r="E14" s="12">
        <v>0</v>
      </c>
      <c r="F14" s="12">
        <v>0</v>
      </c>
      <c r="G14" s="13"/>
      <c r="H14" s="12">
        <v>0</v>
      </c>
      <c r="I14" s="12">
        <f>'Community Shares'!D10</f>
        <v>-10369.5</v>
      </c>
      <c r="J14" s="12">
        <f>'Community Shares'!E10</f>
        <v>-10369.5</v>
      </c>
      <c r="K14" s="12">
        <f>'Community Shares'!F10</f>
        <v>-10369.5</v>
      </c>
      <c r="L14" s="12">
        <f>'Community Shares'!G10</f>
        <v>-10369.5</v>
      </c>
      <c r="M14" s="5"/>
    </row>
    <row r="15" spans="1:13" ht="15.75" customHeight="1">
      <c r="A15" s="5"/>
      <c r="B15" s="11" t="s">
        <v>51</v>
      </c>
      <c r="C15" s="12">
        <f>-'Start Up Costs'!L14</f>
        <v>0</v>
      </c>
      <c r="D15" s="12">
        <f>'Balance Sheet'!C29+C15</f>
        <v>0</v>
      </c>
      <c r="E15" s="12">
        <f>'Balance Sheet'!D29</f>
        <v>0</v>
      </c>
      <c r="F15" s="12">
        <f>'Balance Sheet'!E29</f>
        <v>0</v>
      </c>
      <c r="G15" s="13"/>
      <c r="H15" s="12">
        <f>F15</f>
        <v>0</v>
      </c>
      <c r="I15" s="12">
        <f>'Balance Sheet'!H29</f>
        <v>0</v>
      </c>
      <c r="J15" s="12">
        <f>'Balance Sheet'!I29</f>
        <v>0</v>
      </c>
      <c r="K15" s="12">
        <f>'Balance Sheet'!J29</f>
        <v>0</v>
      </c>
      <c r="L15" s="12">
        <f>'Balance Sheet'!K29</f>
        <v>0</v>
      </c>
      <c r="M15" s="5"/>
    </row>
    <row r="16" spans="1:13" ht="15.75" customHeight="1">
      <c r="A16" s="5"/>
      <c r="B16" s="16" t="s">
        <v>52</v>
      </c>
      <c r="C16" s="12"/>
      <c r="D16" s="12"/>
      <c r="E16" s="12"/>
      <c r="F16" s="12"/>
      <c r="G16" s="13"/>
      <c r="H16" s="12"/>
      <c r="I16" s="12"/>
      <c r="J16" s="12"/>
      <c r="K16" s="12"/>
      <c r="L16" s="12"/>
      <c r="M16" s="5"/>
    </row>
    <row r="17" spans="1:13" ht="15.75" customHeight="1">
      <c r="A17" s="5"/>
      <c r="B17" s="11" t="s">
        <v>53</v>
      </c>
      <c r="C17" s="12">
        <f>-'Balance Sheet'!C22</f>
        <v>0</v>
      </c>
      <c r="D17" s="12">
        <f>'Balance Sheet'!C22-'Balance Sheet'!D22</f>
        <v>0</v>
      </c>
      <c r="E17" s="12">
        <f>'Balance Sheet'!D22-'Balance Sheet'!E22</f>
        <v>0</v>
      </c>
      <c r="F17" s="12">
        <f>'Balance Sheet'!E22-'Balance Sheet'!F22</f>
        <v>0</v>
      </c>
      <c r="G17" s="13"/>
      <c r="H17" s="12">
        <f t="shared" ref="H17:H18" si="2">SUM(C17:F17)</f>
        <v>0</v>
      </c>
      <c r="I17" s="12">
        <f>'Balance Sheet'!H22-'Balance Sheet'!I22</f>
        <v>0</v>
      </c>
      <c r="J17" s="12">
        <f>'Balance Sheet'!I22-'Balance Sheet'!J22</f>
        <v>0</v>
      </c>
      <c r="K17" s="12">
        <f>'Balance Sheet'!J22-'Balance Sheet'!K22</f>
        <v>0</v>
      </c>
      <c r="L17" s="12">
        <f>'Balance Sheet'!K22-'Balance Sheet'!L22</f>
        <v>0</v>
      </c>
      <c r="M17" s="5"/>
    </row>
    <row r="18" spans="1:13" ht="15.75" customHeight="1">
      <c r="A18" s="5"/>
      <c r="B18" s="11" t="s">
        <v>54</v>
      </c>
      <c r="C18" s="12">
        <f>-'Balance Sheet'!C21</f>
        <v>0</v>
      </c>
      <c r="D18" s="12">
        <f>'Balance Sheet'!C21-'Balance Sheet'!D21</f>
        <v>0</v>
      </c>
      <c r="E18" s="12">
        <f>'Balance Sheet'!D21-'Balance Sheet'!E21</f>
        <v>0</v>
      </c>
      <c r="F18" s="12">
        <f>'Balance Sheet'!E21-'Balance Sheet'!F21</f>
        <v>0</v>
      </c>
      <c r="G18" s="13"/>
      <c r="H18" s="12">
        <f t="shared" si="2"/>
        <v>0</v>
      </c>
      <c r="I18" s="12">
        <f ca="1">'Balance Sheet'!H21-'Balance Sheet'!I21</f>
        <v>0</v>
      </c>
      <c r="J18" s="12">
        <f ca="1">'Balance Sheet'!I21-'Balance Sheet'!J21</f>
        <v>0</v>
      </c>
      <c r="K18" s="12">
        <f ca="1">'Balance Sheet'!J21-'Balance Sheet'!K21</f>
        <v>0</v>
      </c>
      <c r="L18" s="12">
        <f ca="1">'Balance Sheet'!K21-'Balance Sheet'!L21</f>
        <v>0</v>
      </c>
      <c r="M18" s="5"/>
    </row>
    <row r="19" spans="1:13" ht="15.75" customHeight="1">
      <c r="A19" s="5"/>
      <c r="B19" s="11" t="s">
        <v>55</v>
      </c>
      <c r="C19" s="12">
        <v>0</v>
      </c>
      <c r="D19" s="12">
        <v>0</v>
      </c>
      <c r="E19" s="12">
        <v>0</v>
      </c>
      <c r="F19" s="12">
        <v>0</v>
      </c>
      <c r="G19" s="13"/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5"/>
    </row>
    <row r="20" spans="1:13" ht="15.75" customHeight="1">
      <c r="A20" s="5"/>
      <c r="B20" s="11" t="s">
        <v>56</v>
      </c>
      <c r="C20" s="12">
        <v>0</v>
      </c>
      <c r="D20" s="12">
        <v>0</v>
      </c>
      <c r="E20" s="12">
        <v>0</v>
      </c>
      <c r="F20" s="12">
        <v>0</v>
      </c>
      <c r="G20" s="13"/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5"/>
    </row>
    <row r="21" spans="1:13" ht="15.75" customHeight="1">
      <c r="A21" s="5"/>
      <c r="B21" s="16" t="s">
        <v>57</v>
      </c>
      <c r="C21" s="12"/>
      <c r="D21" s="12"/>
      <c r="E21" s="12"/>
      <c r="F21" s="12"/>
      <c r="G21" s="13"/>
      <c r="H21" s="12"/>
      <c r="I21" s="12"/>
      <c r="J21" s="12"/>
      <c r="K21" s="12"/>
      <c r="L21" s="12"/>
      <c r="M21" s="5"/>
    </row>
    <row r="22" spans="1:13" ht="15.75" customHeight="1">
      <c r="A22" s="5"/>
      <c r="B22" s="11" t="s">
        <v>58</v>
      </c>
      <c r="C22" s="12">
        <f>-'Balance Sheet'!C28</f>
        <v>0</v>
      </c>
      <c r="D22" s="12">
        <f>'Balance Sheet'!C28-'Balance Sheet'!D28</f>
        <v>0</v>
      </c>
      <c r="E22" s="12">
        <f>'Balance Sheet'!D28-'Balance Sheet'!E28</f>
        <v>0</v>
      </c>
      <c r="F22" s="12">
        <f>'Balance Sheet'!E28-'Balance Sheet'!F28</f>
        <v>0</v>
      </c>
      <c r="G22" s="13"/>
      <c r="H22" s="12">
        <f>SUM(C22:F22)</f>
        <v>0</v>
      </c>
      <c r="I22" s="12">
        <f>'Balance Sheet'!H28-'Balance Sheet'!I28</f>
        <v>0</v>
      </c>
      <c r="J22" s="12">
        <f>'Balance Sheet'!I28-'Balance Sheet'!J28</f>
        <v>0</v>
      </c>
      <c r="K22" s="12">
        <f>'Balance Sheet'!J28-'Balance Sheet'!K28</f>
        <v>0</v>
      </c>
      <c r="L22" s="12">
        <f>'Balance Sheet'!K28-'Balance Sheet'!L28</f>
        <v>0</v>
      </c>
      <c r="M22" s="5"/>
    </row>
    <row r="23" spans="1:13" ht="15.75" customHeight="1">
      <c r="A23" s="5"/>
      <c r="B23" s="11" t="s">
        <v>59</v>
      </c>
      <c r="C23" s="12">
        <v>0</v>
      </c>
      <c r="D23" s="12">
        <v>0</v>
      </c>
      <c r="E23" s="12">
        <v>0</v>
      </c>
      <c r="F23" s="12">
        <v>0</v>
      </c>
      <c r="G23" s="13"/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5"/>
    </row>
    <row r="24" spans="1:13" ht="15.75" customHeight="1">
      <c r="A24" s="5"/>
      <c r="B24" s="11" t="s">
        <v>60</v>
      </c>
      <c r="C24" s="12">
        <v>0</v>
      </c>
      <c r="D24" s="12">
        <v>0</v>
      </c>
      <c r="E24" s="12">
        <v>0</v>
      </c>
      <c r="F24" s="12">
        <v>0</v>
      </c>
      <c r="G24" s="13"/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5"/>
    </row>
    <row r="25" spans="1:13" ht="15.75" customHeight="1">
      <c r="A25" s="5"/>
      <c r="B25" s="11" t="s">
        <v>61</v>
      </c>
      <c r="C25" s="12">
        <v>0</v>
      </c>
      <c r="D25" s="12">
        <v>0</v>
      </c>
      <c r="E25" s="12">
        <v>0</v>
      </c>
      <c r="F25" s="12">
        <v>0</v>
      </c>
      <c r="G25" s="13"/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5"/>
    </row>
    <row r="26" spans="1:13" ht="15.75" customHeight="1">
      <c r="A26" s="5"/>
      <c r="B26" s="8" t="s">
        <v>62</v>
      </c>
      <c r="C26" s="14">
        <f t="shared" ref="C26:F26" ca="1" si="3">SUM(C5:C25)</f>
        <v>-13958.734899999999</v>
      </c>
      <c r="D26" s="14">
        <f t="shared" ca="1" si="3"/>
        <v>3691.2650999999996</v>
      </c>
      <c r="E26" s="14">
        <f t="shared" ca="1" si="3"/>
        <v>3691.2650999999996</v>
      </c>
      <c r="F26" s="14">
        <f t="shared" ca="1" si="3"/>
        <v>3691.2650999999996</v>
      </c>
      <c r="G26" s="13"/>
      <c r="H26" s="14">
        <f t="shared" ref="H26:L26" ca="1" si="4">SUM(H5:H25)</f>
        <v>-2884.9395999999979</v>
      </c>
      <c r="I26" s="14">
        <f t="shared" ca="1" si="4"/>
        <v>15709.0215432</v>
      </c>
      <c r="J26" s="14">
        <f t="shared" ca="1" si="4"/>
        <v>16384.347719469595</v>
      </c>
      <c r="K26" s="14">
        <f t="shared" ca="1" si="4"/>
        <v>17094.463126804047</v>
      </c>
      <c r="L26" s="14">
        <f t="shared" ca="1" si="4"/>
        <v>18188.973172891328</v>
      </c>
      <c r="M26" s="5"/>
    </row>
    <row r="27" spans="1:13" ht="15.75" customHeight="1">
      <c r="A27" s="5"/>
      <c r="C27" s="12"/>
      <c r="D27" s="12"/>
      <c r="E27" s="12"/>
      <c r="F27" s="12"/>
      <c r="G27" s="13"/>
      <c r="H27" s="12"/>
      <c r="I27" s="12"/>
      <c r="J27" s="12"/>
      <c r="K27" s="12"/>
      <c r="L27" s="12"/>
      <c r="M27" s="5"/>
    </row>
    <row r="28" spans="1:13" ht="15.75" customHeight="1">
      <c r="A28" s="5"/>
      <c r="B28" s="8" t="s">
        <v>63</v>
      </c>
      <c r="C28" s="12"/>
      <c r="D28" s="12"/>
      <c r="E28" s="12"/>
      <c r="F28" s="12"/>
      <c r="G28" s="13"/>
      <c r="H28" s="12"/>
      <c r="I28" s="12"/>
      <c r="J28" s="12"/>
      <c r="K28" s="12"/>
      <c r="L28" s="12"/>
      <c r="M28" s="5"/>
    </row>
    <row r="29" spans="1:13" ht="15.75" customHeight="1">
      <c r="A29" s="5"/>
      <c r="B29" s="16" t="s">
        <v>64</v>
      </c>
      <c r="C29" s="12">
        <f ca="1">-SUM('Start Up Costs'!G4:G9)</f>
        <v>-305000</v>
      </c>
      <c r="D29" s="12">
        <v>0</v>
      </c>
      <c r="E29" s="12">
        <v>0</v>
      </c>
      <c r="F29" s="12">
        <v>0</v>
      </c>
      <c r="G29" s="13"/>
      <c r="H29" s="12">
        <f ca="1">SUM(C29:F29)</f>
        <v>-305000</v>
      </c>
      <c r="I29" s="12">
        <v>0</v>
      </c>
      <c r="J29" s="12">
        <v>0</v>
      </c>
      <c r="K29" s="12">
        <v>0</v>
      </c>
      <c r="L29" s="12">
        <v>0</v>
      </c>
      <c r="M29" s="5"/>
    </row>
    <row r="30" spans="1:13" ht="15.75" customHeight="1">
      <c r="A30" s="5"/>
      <c r="B30" s="16" t="s">
        <v>65</v>
      </c>
      <c r="C30" s="12">
        <v>0</v>
      </c>
      <c r="D30" s="12">
        <v>0</v>
      </c>
      <c r="E30" s="12">
        <v>0</v>
      </c>
      <c r="F30" s="12">
        <v>0</v>
      </c>
      <c r="G30" s="13"/>
      <c r="H30" s="12">
        <f t="shared" ref="H30:H31" si="5">SUM(C30:F30)</f>
        <v>0</v>
      </c>
      <c r="I30" s="12">
        <v>0</v>
      </c>
      <c r="J30" s="12">
        <v>0</v>
      </c>
      <c r="K30" s="12">
        <v>0</v>
      </c>
      <c r="L30" s="12">
        <v>0</v>
      </c>
      <c r="M30" s="5"/>
    </row>
    <row r="31" spans="1:13" s="595" customFormat="1" ht="15.75" customHeight="1">
      <c r="A31" s="5"/>
      <c r="B31" s="16" t="str">
        <f>'Start Up Costs'!I6</f>
        <v>Fees And Taxes</v>
      </c>
      <c r="C31" s="12">
        <f>-('Start Up Costs'!L13+'Start Up Costs'!L16)</f>
        <v>-23000</v>
      </c>
      <c r="D31" s="12"/>
      <c r="E31" s="12"/>
      <c r="F31" s="12"/>
      <c r="G31" s="13"/>
      <c r="H31" s="12">
        <f t="shared" si="5"/>
        <v>-23000</v>
      </c>
      <c r="I31" s="12"/>
      <c r="J31" s="12"/>
      <c r="K31" s="12"/>
      <c r="L31" s="12"/>
      <c r="M31" s="5"/>
    </row>
    <row r="32" spans="1:13" ht="15.75" customHeight="1">
      <c r="A32" s="5"/>
      <c r="B32" s="8" t="s">
        <v>66</v>
      </c>
      <c r="C32" s="14">
        <f ca="1">SUM(C29:C31)</f>
        <v>-328000</v>
      </c>
      <c r="D32" s="14">
        <f t="shared" ref="D32:F32" si="6">SUM(D29:D30)</f>
        <v>0</v>
      </c>
      <c r="E32" s="14">
        <f t="shared" si="6"/>
        <v>0</v>
      </c>
      <c r="F32" s="14">
        <f t="shared" si="6"/>
        <v>0</v>
      </c>
      <c r="G32" s="13"/>
      <c r="H32" s="14">
        <f ca="1">SUM(H29:H31)</f>
        <v>-328000</v>
      </c>
      <c r="I32" s="14">
        <f t="shared" ref="I32:L32" si="7">SUM(I29:I31)</f>
        <v>0</v>
      </c>
      <c r="J32" s="14">
        <f t="shared" si="7"/>
        <v>0</v>
      </c>
      <c r="K32" s="14">
        <f t="shared" si="7"/>
        <v>0</v>
      </c>
      <c r="L32" s="14">
        <f t="shared" si="7"/>
        <v>0</v>
      </c>
      <c r="M32" s="5"/>
    </row>
    <row r="33" spans="1:13" ht="15.75" customHeight="1">
      <c r="A33" s="5"/>
      <c r="C33" s="12"/>
      <c r="D33" s="12"/>
      <c r="E33" s="12"/>
      <c r="F33" s="12"/>
      <c r="G33" s="13"/>
      <c r="H33" s="12"/>
      <c r="I33" s="12"/>
      <c r="J33" s="12"/>
      <c r="K33" s="12"/>
      <c r="L33" s="12"/>
      <c r="M33" s="5"/>
    </row>
    <row r="34" spans="1:13" ht="15.75" customHeight="1">
      <c r="A34" s="5"/>
      <c r="B34" s="8" t="s">
        <v>67</v>
      </c>
      <c r="C34" s="12"/>
      <c r="D34" s="12"/>
      <c r="E34" s="12"/>
      <c r="F34" s="12"/>
      <c r="G34" s="13"/>
      <c r="H34" s="12"/>
      <c r="I34" s="12"/>
      <c r="J34" s="12"/>
      <c r="K34" s="12"/>
      <c r="L34" s="12"/>
      <c r="M34" s="5"/>
    </row>
    <row r="35" spans="1:13" ht="15.75" customHeight="1">
      <c r="A35" s="5"/>
      <c r="B35" s="16" t="s">
        <v>364</v>
      </c>
      <c r="C35" s="12">
        <f>H35/4</f>
        <v>231.86149999999998</v>
      </c>
      <c r="D35" s="12">
        <f>C35</f>
        <v>231.86149999999998</v>
      </c>
      <c r="E35" s="12">
        <f t="shared" ref="E35:F36" si="8">D35</f>
        <v>231.86149999999998</v>
      </c>
      <c r="F35" s="12">
        <f t="shared" si="8"/>
        <v>231.86149999999998</v>
      </c>
      <c r="G35" s="13"/>
      <c r="H35" s="12">
        <f>'Financial Model'!$AM23</f>
        <v>927.44599999999991</v>
      </c>
      <c r="I35" s="12">
        <f>'Financial Model'!$AM24</f>
        <v>953.41448800000001</v>
      </c>
      <c r="J35" s="12">
        <f>'Financial Model'!$AM25</f>
        <v>980.11009366400003</v>
      </c>
      <c r="K35" s="12">
        <f>'Financial Model'!$AM26</f>
        <v>1007.553176286592</v>
      </c>
      <c r="L35" s="12">
        <f>'Financial Model'!$AM27</f>
        <v>1035.7646652226165</v>
      </c>
      <c r="M35" s="5"/>
    </row>
    <row r="36" spans="1:13" ht="15.75" customHeight="1">
      <c r="A36" s="5"/>
      <c r="B36" s="16" t="s">
        <v>365</v>
      </c>
      <c r="C36" s="12">
        <f>H36/4</f>
        <v>463.72299999999996</v>
      </c>
      <c r="D36" s="12">
        <f>C36</f>
        <v>463.72299999999996</v>
      </c>
      <c r="E36" s="12">
        <f t="shared" si="8"/>
        <v>463.72299999999996</v>
      </c>
      <c r="F36" s="12">
        <f t="shared" si="8"/>
        <v>463.72299999999996</v>
      </c>
      <c r="G36" s="13"/>
      <c r="H36" s="12">
        <f>'Financial Model'!$AP23</f>
        <v>1854.8919999999998</v>
      </c>
      <c r="I36" s="12">
        <f>'Financial Model'!$AP24</f>
        <v>1906.828976</v>
      </c>
      <c r="J36" s="12">
        <f>'Financial Model'!$AP25</f>
        <v>1960.2201873280001</v>
      </c>
      <c r="K36" s="12">
        <f>'Financial Model'!$AP26</f>
        <v>2015.106352573184</v>
      </c>
      <c r="L36" s="12">
        <f>'Financial Model'!$AP27</f>
        <v>2071.529330445233</v>
      </c>
      <c r="M36" s="5"/>
    </row>
    <row r="37" spans="1:13" ht="15.75" customHeight="1">
      <c r="A37" s="5"/>
      <c r="B37" s="16" t="s">
        <v>68</v>
      </c>
      <c r="C37" s="12">
        <v>0</v>
      </c>
      <c r="D37" s="12">
        <v>0</v>
      </c>
      <c r="E37" s="12">
        <v>0</v>
      </c>
      <c r="F37" s="12">
        <v>0</v>
      </c>
      <c r="G37" s="13"/>
      <c r="H37" s="12">
        <f t="shared" ref="H37:H41" si="9">SUM(C37:F37)</f>
        <v>0</v>
      </c>
      <c r="I37" s="12">
        <v>0</v>
      </c>
      <c r="J37" s="12">
        <v>0</v>
      </c>
      <c r="K37" s="12">
        <v>0</v>
      </c>
      <c r="L37" s="12">
        <v>0</v>
      </c>
      <c r="M37" s="5"/>
    </row>
    <row r="38" spans="1:13" ht="15.75" customHeight="1">
      <c r="A38" s="5"/>
      <c r="B38" s="16" t="s">
        <v>69</v>
      </c>
      <c r="C38" s="12">
        <v>0</v>
      </c>
      <c r="D38" s="12">
        <v>0</v>
      </c>
      <c r="E38" s="12">
        <v>0</v>
      </c>
      <c r="F38" s="12">
        <v>0</v>
      </c>
      <c r="G38" s="13"/>
      <c r="H38" s="12">
        <f t="shared" si="9"/>
        <v>0</v>
      </c>
      <c r="I38" s="12">
        <v>0</v>
      </c>
      <c r="J38" s="12">
        <v>0</v>
      </c>
      <c r="K38" s="12">
        <v>0</v>
      </c>
      <c r="L38" s="12">
        <v>0</v>
      </c>
      <c r="M38" s="5"/>
    </row>
    <row r="39" spans="1:13" ht="15.75" customHeight="1">
      <c r="A39" s="5"/>
      <c r="B39" s="16" t="s">
        <v>70</v>
      </c>
      <c r="C39" s="12">
        <f>'Community Shares'!C3</f>
        <v>345650</v>
      </c>
      <c r="D39" s="12"/>
      <c r="E39" s="12"/>
      <c r="F39" s="12"/>
      <c r="G39" s="13"/>
      <c r="H39" s="12">
        <f t="shared" si="9"/>
        <v>345650</v>
      </c>
      <c r="I39" s="12"/>
      <c r="J39" s="12"/>
      <c r="K39" s="12"/>
      <c r="L39" s="12"/>
      <c r="M39" s="5"/>
    </row>
    <row r="40" spans="1:13" ht="15.75" customHeight="1">
      <c r="A40" s="5"/>
      <c r="B40" s="16" t="s">
        <v>71</v>
      </c>
      <c r="C40" s="12">
        <f>'Community Shares'!$C11/4</f>
        <v>0</v>
      </c>
      <c r="D40" s="12">
        <f>'Community Shares'!$C11/4</f>
        <v>0</v>
      </c>
      <c r="E40" s="12">
        <f>'Community Shares'!$C11/4</f>
        <v>0</v>
      </c>
      <c r="F40" s="12">
        <f>'Community Shares'!$C11/4</f>
        <v>0</v>
      </c>
      <c r="G40" s="13"/>
      <c r="H40" s="12">
        <f t="shared" si="9"/>
        <v>0</v>
      </c>
      <c r="I40" s="12">
        <f>'Community Shares'!D11</f>
        <v>0</v>
      </c>
      <c r="J40" s="12">
        <f>'Community Shares'!E11</f>
        <v>0</v>
      </c>
      <c r="K40" s="12">
        <f>'Community Shares'!F11</f>
        <v>0</v>
      </c>
      <c r="L40" s="12">
        <f>'Community Shares'!G11</f>
        <v>0</v>
      </c>
      <c r="M40" s="5"/>
    </row>
    <row r="41" spans="1:13" ht="15.75" customHeight="1">
      <c r="A41" s="5"/>
      <c r="B41" s="16" t="s">
        <v>72</v>
      </c>
      <c r="C41" s="12">
        <v>0</v>
      </c>
      <c r="D41" s="12">
        <v>0</v>
      </c>
      <c r="E41" s="12">
        <v>0</v>
      </c>
      <c r="F41" s="12">
        <v>0</v>
      </c>
      <c r="G41" s="13"/>
      <c r="H41" s="12">
        <f t="shared" si="9"/>
        <v>0</v>
      </c>
      <c r="I41" s="12">
        <v>0</v>
      </c>
      <c r="J41" s="12">
        <v>0</v>
      </c>
      <c r="K41" s="12">
        <v>0</v>
      </c>
      <c r="L41" s="12">
        <v>0</v>
      </c>
      <c r="M41" s="5"/>
    </row>
    <row r="42" spans="1:13" ht="15.75" customHeight="1">
      <c r="A42" s="5"/>
      <c r="B42" s="8" t="s">
        <v>73</v>
      </c>
      <c r="C42" s="14">
        <f t="shared" ref="C42:F42" si="10">SUM(C35:C41)</f>
        <v>346345.5845</v>
      </c>
      <c r="D42" s="14">
        <f t="shared" si="10"/>
        <v>695.58449999999993</v>
      </c>
      <c r="E42" s="14">
        <f t="shared" si="10"/>
        <v>695.58449999999993</v>
      </c>
      <c r="F42" s="14">
        <f t="shared" si="10"/>
        <v>695.58449999999993</v>
      </c>
      <c r="G42" s="13"/>
      <c r="H42" s="14">
        <f t="shared" ref="H42:L42" si="11">SUM(H35:H41)</f>
        <v>348432.33799999999</v>
      </c>
      <c r="I42" s="14">
        <f t="shared" si="11"/>
        <v>2860.2434640000001</v>
      </c>
      <c r="J42" s="14">
        <f t="shared" si="11"/>
        <v>2940.3302809920001</v>
      </c>
      <c r="K42" s="14">
        <f t="shared" si="11"/>
        <v>3022.6595288597759</v>
      </c>
      <c r="L42" s="14">
        <f t="shared" si="11"/>
        <v>3107.2939956678492</v>
      </c>
      <c r="M42" s="5"/>
    </row>
    <row r="43" spans="1:13" s="595" customFormat="1" ht="15.75" customHeight="1">
      <c r="A43" s="5"/>
      <c r="B43" s="8"/>
      <c r="C43" s="605"/>
      <c r="D43" s="605"/>
      <c r="E43" s="605"/>
      <c r="F43" s="605"/>
      <c r="G43" s="13"/>
      <c r="H43" s="605"/>
      <c r="I43" s="605"/>
      <c r="J43" s="605"/>
      <c r="K43" s="605"/>
      <c r="L43" s="605"/>
      <c r="M43" s="5"/>
    </row>
    <row r="44" spans="1:13" s="595" customFormat="1" ht="15.75" customHeight="1">
      <c r="A44" s="5"/>
      <c r="B44" s="8"/>
      <c r="C44" s="605"/>
      <c r="D44" s="605"/>
      <c r="E44" s="605"/>
      <c r="F44" s="605"/>
      <c r="G44" s="13"/>
      <c r="H44" s="605"/>
      <c r="I44" s="605"/>
      <c r="J44" s="605"/>
      <c r="K44" s="605"/>
      <c r="L44" s="605"/>
      <c r="M44" s="5"/>
    </row>
    <row r="45" spans="1:13" ht="15.75" customHeight="1">
      <c r="A45" s="5"/>
      <c r="C45" s="12"/>
      <c r="D45" s="12"/>
      <c r="E45" s="12"/>
      <c r="F45" s="12"/>
      <c r="G45" s="13"/>
      <c r="H45" s="12"/>
      <c r="I45" s="12"/>
      <c r="J45" s="12"/>
      <c r="K45" s="12"/>
      <c r="L45" s="12"/>
      <c r="M45" s="5"/>
    </row>
    <row r="46" spans="1:13" ht="15.75" customHeight="1">
      <c r="A46" s="5"/>
      <c r="B46" s="8" t="s">
        <v>74</v>
      </c>
      <c r="C46" s="18">
        <f t="shared" ref="C46:F46" ca="1" si="12">C26+C32+C42</f>
        <v>4386.8496000000159</v>
      </c>
      <c r="D46" s="18">
        <f t="shared" ca="1" si="12"/>
        <v>4386.8495999999996</v>
      </c>
      <c r="E46" s="18">
        <f t="shared" ca="1" si="12"/>
        <v>4386.8495999999996</v>
      </c>
      <c r="F46" s="18">
        <f t="shared" ca="1" si="12"/>
        <v>4386.8495999999996</v>
      </c>
      <c r="G46" s="13"/>
      <c r="H46" s="18">
        <f t="shared" ref="H46:L46" ca="1" si="13">H26+H32+H42</f>
        <v>17547.398400000005</v>
      </c>
      <c r="I46" s="18">
        <f t="shared" ca="1" si="13"/>
        <v>18569.2650072</v>
      </c>
      <c r="J46" s="18">
        <f t="shared" ca="1" si="13"/>
        <v>19324.678000461594</v>
      </c>
      <c r="K46" s="18">
        <f t="shared" ca="1" si="13"/>
        <v>20117.122655663821</v>
      </c>
      <c r="L46" s="18">
        <f t="shared" ca="1" si="13"/>
        <v>21296.267168559178</v>
      </c>
      <c r="M46" s="5"/>
    </row>
    <row r="47" spans="1:13" ht="15.75" customHeight="1">
      <c r="A47" s="5"/>
      <c r="B47" s="16" t="s">
        <v>75</v>
      </c>
      <c r="C47" s="18">
        <v>0</v>
      </c>
      <c r="D47" s="18">
        <f t="shared" ref="D47:F47" ca="1" si="14">C48</f>
        <v>4386.8496000000159</v>
      </c>
      <c r="E47" s="18">
        <f t="shared" ca="1" si="14"/>
        <v>8773.6992000000155</v>
      </c>
      <c r="F47" s="18">
        <f t="shared" ca="1" si="14"/>
        <v>13160.548800000015</v>
      </c>
      <c r="G47" s="13"/>
      <c r="H47" s="18">
        <f>C47</f>
        <v>0</v>
      </c>
      <c r="I47" s="18">
        <f t="shared" ref="I47:L47" ca="1" si="15">H48</f>
        <v>17547.398400000013</v>
      </c>
      <c r="J47" s="18">
        <f t="shared" ca="1" si="15"/>
        <v>36116.663407200016</v>
      </c>
      <c r="K47" s="18">
        <f t="shared" ca="1" si="15"/>
        <v>55441.34140766161</v>
      </c>
      <c r="L47" s="18">
        <f t="shared" ca="1" si="15"/>
        <v>75558.464063325431</v>
      </c>
      <c r="M47" s="5"/>
    </row>
    <row r="48" spans="1:13" ht="15.75" customHeight="1">
      <c r="A48" s="5"/>
      <c r="B48" s="16" t="s">
        <v>76</v>
      </c>
      <c r="C48" s="12">
        <f t="shared" ref="C48:F48" ca="1" si="16">SUM(C46:C47)</f>
        <v>4386.8496000000159</v>
      </c>
      <c r="D48" s="12">
        <f t="shared" ca="1" si="16"/>
        <v>8773.6992000000155</v>
      </c>
      <c r="E48" s="12">
        <f t="shared" ca="1" si="16"/>
        <v>13160.548800000015</v>
      </c>
      <c r="F48" s="12">
        <f t="shared" ca="1" si="16"/>
        <v>17547.398400000013</v>
      </c>
      <c r="G48" s="13"/>
      <c r="H48" s="12">
        <f ca="1">F48</f>
        <v>17547.398400000013</v>
      </c>
      <c r="I48" s="12">
        <f t="shared" ref="I48:L48" ca="1" si="17">SUM(I46:I47)</f>
        <v>36116.663407200016</v>
      </c>
      <c r="J48" s="12">
        <f t="shared" ca="1" si="17"/>
        <v>55441.34140766161</v>
      </c>
      <c r="K48" s="12">
        <f t="shared" ca="1" si="17"/>
        <v>75558.464063325431</v>
      </c>
      <c r="L48" s="12">
        <f t="shared" ca="1" si="17"/>
        <v>96854.731231884609</v>
      </c>
      <c r="M48" s="5"/>
    </row>
    <row r="49" spans="1:13" ht="15.75" customHeight="1">
      <c r="A49" s="5"/>
      <c r="B49" s="5"/>
      <c r="C49" s="17"/>
      <c r="D49" s="17"/>
      <c r="E49" s="17"/>
      <c r="F49" s="17"/>
      <c r="G49" s="13"/>
      <c r="H49" s="17"/>
      <c r="I49" s="17"/>
      <c r="J49" s="17"/>
      <c r="K49" s="17"/>
      <c r="L49" s="17"/>
      <c r="M49" s="5"/>
    </row>
    <row r="50" spans="1:13" ht="15.75" customHeight="1"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3" ht="15.75" customHeight="1"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3" ht="15.75" customHeight="1"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3" ht="15.75" customHeight="1"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1:13" ht="15.75" customHeight="1"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1:13" ht="15.75" customHeight="1"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3" ht="15.75" customHeight="1"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1:13" ht="15.75" customHeight="1"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1:13" ht="15.75" customHeight="1"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3" ht="15.75" customHeight="1"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3" ht="15.75" customHeight="1"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1:13" ht="15.75" customHeight="1"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1:13" ht="15.75" customHeight="1"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1:13" ht="15.75" customHeight="1"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1:13" ht="15.75" customHeight="1"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3:12" ht="15.75" customHeight="1"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3:12" ht="15.75" customHeight="1"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3:12" ht="15.75" customHeight="1"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3:12" ht="15.75" customHeight="1"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3:12" ht="15.75" customHeight="1"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3:12" ht="15.75" customHeight="1"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3:12" ht="15.75" customHeight="1"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3:12" ht="15.75" customHeight="1"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3:12" ht="15.75" customHeight="1"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3:12" ht="15.75" customHeight="1"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3:12" ht="12.75"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3:12" ht="12.75"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3:12" ht="12.75"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3:12" ht="12.75"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3:12" ht="12.75"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3:12" ht="12.75"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3:12" ht="12.75">
      <c r="C81" s="12"/>
      <c r="D81" s="12"/>
      <c r="E81" s="12"/>
      <c r="F81" s="12"/>
      <c r="G81" s="12"/>
      <c r="H81" s="12"/>
      <c r="I81" s="12"/>
      <c r="J81" s="12"/>
      <c r="K81" s="12"/>
      <c r="L81" s="12"/>
    </row>
    <row r="82" spans="3:12" ht="12.75"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spans="3:12" ht="12.75"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3:12" ht="12.75"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3:12" ht="12.75"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3:12" ht="12.75"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3:12" ht="12.75">
      <c r="C87" s="12"/>
      <c r="D87" s="12"/>
      <c r="E87" s="12"/>
      <c r="F87" s="12"/>
      <c r="G87" s="12"/>
      <c r="H87" s="12"/>
      <c r="I87" s="12"/>
      <c r="J87" s="12"/>
      <c r="K87" s="12"/>
      <c r="L87" s="12"/>
    </row>
    <row r="88" spans="3:12" ht="12.75"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spans="3:12" ht="12.75"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spans="3:12" ht="12.75"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spans="3:12" ht="12.75"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spans="3:12" ht="12.75"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3:12" ht="12.75"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spans="3:12" ht="12.75">
      <c r="C94" s="12"/>
      <c r="D94" s="12"/>
      <c r="E94" s="12"/>
      <c r="F94" s="12"/>
      <c r="G94" s="12"/>
      <c r="H94" s="12"/>
      <c r="I94" s="12"/>
      <c r="J94" s="12"/>
      <c r="K94" s="12"/>
      <c r="L94" s="12"/>
    </row>
  </sheetData>
  <pageMargins left="0.39370078740157483" right="0.39370078740157483" top="0.39370078740157483" bottom="0.39370078740157483" header="0.31496062992125984" footer="0.31496062992125984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53"/>
  <sheetViews>
    <sheetView zoomScale="70" zoomScaleNormal="70" workbookViewId="0">
      <selection activeCell="J48" sqref="J48"/>
    </sheetView>
  </sheetViews>
  <sheetFormatPr defaultColWidth="12.7109375" defaultRowHeight="15.75" customHeight="1"/>
  <cols>
    <col min="1" max="1" width="2.28515625" customWidth="1"/>
    <col min="2" max="2" width="30.42578125" customWidth="1"/>
    <col min="7" max="7" width="2.28515625" customWidth="1"/>
    <col min="13" max="13" width="2.28515625" customWidth="1"/>
  </cols>
  <sheetData>
    <row r="1" spans="1:13" ht="15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.75" customHeight="1">
      <c r="A2" s="5"/>
      <c r="C2" s="6" t="str">
        <f>'P&amp;L'!C2</f>
        <v>Q1</v>
      </c>
      <c r="D2" s="6" t="str">
        <f>'P&amp;L'!D2</f>
        <v>Q2</v>
      </c>
      <c r="E2" s="6" t="str">
        <f>'P&amp;L'!E2</f>
        <v>Q3</v>
      </c>
      <c r="F2" s="6" t="str">
        <f>'P&amp;L'!F2</f>
        <v>Q4</v>
      </c>
      <c r="G2" s="7"/>
      <c r="H2" s="6" t="str">
        <f>'P&amp;L'!H2</f>
        <v>Year 1</v>
      </c>
      <c r="I2" s="6" t="str">
        <f>'P&amp;L'!I2</f>
        <v>Year 2</v>
      </c>
      <c r="J2" s="6" t="str">
        <f>'P&amp;L'!J2</f>
        <v>Year 3</v>
      </c>
      <c r="K2" s="6" t="str">
        <f>'P&amp;L'!K2</f>
        <v>Year 4</v>
      </c>
      <c r="L2" s="6" t="str">
        <f>'P&amp;L'!L2</f>
        <v>Year 5</v>
      </c>
      <c r="M2" s="5"/>
    </row>
    <row r="3" spans="1:13" ht="15.75" customHeight="1">
      <c r="A3" s="5"/>
      <c r="C3" s="6" t="str">
        <f>'P&amp;L'!C3</f>
        <v>(£)</v>
      </c>
      <c r="D3" s="6" t="str">
        <f>'P&amp;L'!D3</f>
        <v>(£)</v>
      </c>
      <c r="E3" s="6" t="str">
        <f>'P&amp;L'!E3</f>
        <v>(£)</v>
      </c>
      <c r="F3" s="6" t="str">
        <f>'P&amp;L'!F3</f>
        <v>(£)</v>
      </c>
      <c r="G3" s="7"/>
      <c r="H3" s="6" t="str">
        <f>'P&amp;L'!H3</f>
        <v>(£)</v>
      </c>
      <c r="I3" s="6" t="str">
        <f>'P&amp;L'!I3</f>
        <v>(£)</v>
      </c>
      <c r="J3" s="6" t="str">
        <f>'P&amp;L'!J3</f>
        <v>(£)</v>
      </c>
      <c r="K3" s="6" t="str">
        <f>'P&amp;L'!K3</f>
        <v>(£)</v>
      </c>
      <c r="L3" s="6" t="str">
        <f>'P&amp;L'!L3</f>
        <v>(£)</v>
      </c>
      <c r="M3" s="5"/>
    </row>
    <row r="4" spans="1:13" ht="15.75" customHeight="1">
      <c r="A4" s="5"/>
      <c r="B4" s="195" t="s">
        <v>333</v>
      </c>
      <c r="C4" s="480">
        <f>H4</f>
        <v>305000</v>
      </c>
      <c r="D4" s="480">
        <f ca="1">C17</f>
        <v>306114.58333333331</v>
      </c>
      <c r="E4" s="480">
        <f t="shared" ref="E4:F4" ca="1" si="0">D17</f>
        <v>307229.16666666663</v>
      </c>
      <c r="F4" s="480">
        <f t="shared" ca="1" si="0"/>
        <v>308343.74999999994</v>
      </c>
      <c r="G4" s="612"/>
      <c r="H4" s="479">
        <f>'Start Up Costs'!J4</f>
        <v>305000</v>
      </c>
      <c r="I4" s="480">
        <f ca="1">H17</f>
        <v>309458.33333333331</v>
      </c>
      <c r="J4" s="480">
        <f t="shared" ref="J4:L4" ca="1" si="1">I17</f>
        <v>314107.29166666663</v>
      </c>
      <c r="K4" s="480">
        <f t="shared" ca="1" si="1"/>
        <v>318951.64062499994</v>
      </c>
      <c r="L4" s="480">
        <f t="shared" ca="1" si="1"/>
        <v>323996.2649739582</v>
      </c>
      <c r="M4" s="5"/>
    </row>
    <row r="5" spans="1:13" ht="15.75" customHeight="1">
      <c r="A5" s="5"/>
      <c r="B5" s="481" t="str">
        <f>'[1]Start Up Costs'!D4</f>
        <v>Land &amp; Buildings</v>
      </c>
      <c r="C5" s="482">
        <f ca="1">H5</f>
        <v>300000</v>
      </c>
      <c r="D5" s="483">
        <f ca="1">C7</f>
        <v>299250</v>
      </c>
      <c r="E5" s="483">
        <f ca="1">D7</f>
        <v>298500</v>
      </c>
      <c r="F5" s="483">
        <f ca="1">E7</f>
        <v>297750</v>
      </c>
      <c r="G5" s="484"/>
      <c r="H5" s="483">
        <f ca="1">'Start Up Costs'!G4</f>
        <v>300000</v>
      </c>
      <c r="I5" s="483">
        <f ca="1">H7</f>
        <v>297000</v>
      </c>
      <c r="J5" s="483">
        <f t="shared" ref="J5:L5" ca="1" si="2">I7</f>
        <v>294000</v>
      </c>
      <c r="K5" s="483">
        <f t="shared" ca="1" si="2"/>
        <v>291000</v>
      </c>
      <c r="L5" s="483">
        <f t="shared" ca="1" si="2"/>
        <v>288000</v>
      </c>
      <c r="M5" s="5"/>
    </row>
    <row r="6" spans="1:13" s="478" customFormat="1" ht="15.75" customHeight="1">
      <c r="A6" s="5"/>
      <c r="B6" s="618" t="s">
        <v>334</v>
      </c>
      <c r="C6" s="619">
        <f ca="1">H6/4</f>
        <v>-750</v>
      </c>
      <c r="D6" s="619">
        <f ca="1">C6</f>
        <v>-750</v>
      </c>
      <c r="E6" s="619">
        <f ca="1">D6</f>
        <v>-750</v>
      </c>
      <c r="F6" s="619">
        <f ca="1">E6</f>
        <v>-750</v>
      </c>
      <c r="G6" s="620"/>
      <c r="H6" s="619">
        <f ca="1">-'Start Up Costs'!F4</f>
        <v>-3000</v>
      </c>
      <c r="I6" s="619">
        <f ca="1">H6</f>
        <v>-3000</v>
      </c>
      <c r="J6" s="619">
        <f ca="1">I6</f>
        <v>-3000</v>
      </c>
      <c r="K6" s="619">
        <f ca="1">J6</f>
        <v>-3000</v>
      </c>
      <c r="L6" s="619">
        <f ca="1">K6</f>
        <v>-3000</v>
      </c>
      <c r="M6" s="5"/>
    </row>
    <row r="7" spans="1:13" s="478" customFormat="1" ht="15.75" customHeight="1">
      <c r="A7" s="5"/>
      <c r="B7" s="481" t="s">
        <v>335</v>
      </c>
      <c r="C7" s="560">
        <f ca="1">C5+C6</f>
        <v>299250</v>
      </c>
      <c r="D7" s="560">
        <f t="shared" ref="D7:F7" ca="1" si="3">D5+D6</f>
        <v>298500</v>
      </c>
      <c r="E7" s="560">
        <f t="shared" ca="1" si="3"/>
        <v>297750</v>
      </c>
      <c r="F7" s="560">
        <f t="shared" ca="1" si="3"/>
        <v>297000</v>
      </c>
      <c r="G7" s="484"/>
      <c r="H7" s="560">
        <f ca="1">H5+H6</f>
        <v>297000</v>
      </c>
      <c r="I7" s="560">
        <f t="shared" ref="I7:L7" ca="1" si="4">I5+I6</f>
        <v>294000</v>
      </c>
      <c r="J7" s="560">
        <f t="shared" ca="1" si="4"/>
        <v>291000</v>
      </c>
      <c r="K7" s="560">
        <f t="shared" ca="1" si="4"/>
        <v>288000</v>
      </c>
      <c r="L7" s="560">
        <f t="shared" ca="1" si="4"/>
        <v>285000</v>
      </c>
      <c r="M7" s="5"/>
    </row>
    <row r="8" spans="1:13" ht="15.75" customHeight="1">
      <c r="A8" s="5"/>
      <c r="B8" s="481" t="str">
        <f>'[1]Start Up Costs'!D5</f>
        <v>Fixtures and Fittings</v>
      </c>
      <c r="C8" s="613">
        <f>H8</f>
        <v>5000</v>
      </c>
      <c r="D8" s="614">
        <f ca="1">C10</f>
        <v>4958.333333333333</v>
      </c>
      <c r="E8" s="614">
        <f t="shared" ref="E8:F8" ca="1" si="5">D10</f>
        <v>4916.6666666666661</v>
      </c>
      <c r="F8" s="614">
        <f t="shared" ca="1" si="5"/>
        <v>4874.9999999999991</v>
      </c>
      <c r="G8" s="484"/>
      <c r="H8" s="613">
        <f>'Start Up Costs'!F15</f>
        <v>5000</v>
      </c>
      <c r="I8" s="614">
        <f ca="1">H10</f>
        <v>4833.333333333333</v>
      </c>
      <c r="J8" s="614">
        <f t="shared" ref="J8:L8" ca="1" si="6">I10</f>
        <v>4666.6666666666661</v>
      </c>
      <c r="K8" s="614">
        <f t="shared" ca="1" si="6"/>
        <v>4499.9999999999991</v>
      </c>
      <c r="L8" s="614">
        <f t="shared" ca="1" si="6"/>
        <v>4333.3333333333321</v>
      </c>
      <c r="M8" s="5"/>
    </row>
    <row r="9" spans="1:13" s="478" customFormat="1" ht="15.75" customHeight="1">
      <c r="A9" s="5"/>
      <c r="B9" s="618" t="s">
        <v>336</v>
      </c>
      <c r="C9" s="619">
        <f ca="1">H9/4</f>
        <v>-41.666666666666664</v>
      </c>
      <c r="D9" s="619">
        <f ca="1">C9</f>
        <v>-41.666666666666664</v>
      </c>
      <c r="E9" s="619">
        <f ca="1">D9</f>
        <v>-41.666666666666664</v>
      </c>
      <c r="F9" s="619">
        <f ca="1">E9</f>
        <v>-41.666666666666664</v>
      </c>
      <c r="G9" s="620"/>
      <c r="H9" s="619">
        <f ca="1">-'Start Up Costs'!F5</f>
        <v>-166.66666666666666</v>
      </c>
      <c r="I9" s="619">
        <f ca="1">H9</f>
        <v>-166.66666666666666</v>
      </c>
      <c r="J9" s="619">
        <f t="shared" ref="J9:L9" ca="1" si="7">I9</f>
        <v>-166.66666666666666</v>
      </c>
      <c r="K9" s="619">
        <f t="shared" ca="1" si="7"/>
        <v>-166.66666666666666</v>
      </c>
      <c r="L9" s="619">
        <f t="shared" ca="1" si="7"/>
        <v>-166.66666666666666</v>
      </c>
      <c r="M9" s="5"/>
    </row>
    <row r="10" spans="1:13" s="478" customFormat="1" ht="15.75" customHeight="1">
      <c r="A10" s="5"/>
      <c r="B10" s="481" t="s">
        <v>337</v>
      </c>
      <c r="C10" s="560">
        <f ca="1">C9+C8</f>
        <v>4958.333333333333</v>
      </c>
      <c r="D10" s="560">
        <f t="shared" ref="D10:F10" ca="1" si="8">D9+D8</f>
        <v>4916.6666666666661</v>
      </c>
      <c r="E10" s="560">
        <f t="shared" ca="1" si="8"/>
        <v>4874.9999999999991</v>
      </c>
      <c r="F10" s="560">
        <f t="shared" ca="1" si="8"/>
        <v>4833.3333333333321</v>
      </c>
      <c r="G10" s="484"/>
      <c r="H10" s="560">
        <f ca="1">H8+H9</f>
        <v>4833.333333333333</v>
      </c>
      <c r="I10" s="560">
        <f ca="1">I8+I9</f>
        <v>4666.6666666666661</v>
      </c>
      <c r="J10" s="560">
        <f t="shared" ref="J10:L10" ca="1" si="9">J8+J9</f>
        <v>4499.9999999999991</v>
      </c>
      <c r="K10" s="560">
        <f t="shared" ca="1" si="9"/>
        <v>4333.3333333333321</v>
      </c>
      <c r="L10" s="560">
        <f t="shared" ca="1" si="9"/>
        <v>4166.6666666666652</v>
      </c>
      <c r="M10" s="5"/>
    </row>
    <row r="11" spans="1:13" ht="15.75" customHeight="1">
      <c r="A11" s="5"/>
      <c r="B11" s="481" t="str">
        <f>'[1]Start Up Costs'!D6</f>
        <v>Vehicles</v>
      </c>
      <c r="C11" s="482"/>
      <c r="D11" s="482"/>
      <c r="E11" s="482"/>
      <c r="F11" s="482"/>
      <c r="G11" s="484"/>
      <c r="H11" s="482"/>
      <c r="I11" s="482"/>
      <c r="J11" s="482"/>
      <c r="K11" s="482"/>
      <c r="L11" s="482"/>
      <c r="M11" s="5"/>
    </row>
    <row r="12" spans="1:13" ht="15.75" customHeight="1">
      <c r="A12" s="5"/>
      <c r="B12" s="481" t="str">
        <f>'[1]Start Up Costs'!D7</f>
        <v>Machinery</v>
      </c>
      <c r="C12" s="482"/>
      <c r="D12" s="482"/>
      <c r="E12" s="482"/>
      <c r="F12" s="482"/>
      <c r="G12" s="484"/>
      <c r="H12" s="482"/>
      <c r="I12" s="482"/>
      <c r="J12" s="482"/>
      <c r="K12" s="482"/>
      <c r="L12" s="482"/>
      <c r="M12" s="5"/>
    </row>
    <row r="13" spans="1:13" ht="15.75" customHeight="1">
      <c r="A13" s="5"/>
      <c r="B13" s="481" t="str">
        <f>'[1]Start Up Costs'!D8</f>
        <v>Equipment</v>
      </c>
      <c r="C13" s="482"/>
      <c r="D13" s="482"/>
      <c r="E13" s="482"/>
      <c r="F13" s="482"/>
      <c r="G13" s="484"/>
      <c r="H13" s="482"/>
      <c r="I13" s="482"/>
      <c r="J13" s="482"/>
      <c r="K13" s="482"/>
      <c r="L13" s="482"/>
      <c r="M13" s="5"/>
    </row>
    <row r="14" spans="1:13" s="435" customFormat="1" ht="15.75" customHeight="1">
      <c r="A14" s="5"/>
      <c r="B14" s="481" t="str">
        <f>'[1]Start Up Costs'!D9</f>
        <v>IT</v>
      </c>
      <c r="C14" s="482"/>
      <c r="D14" s="482"/>
      <c r="E14" s="482"/>
      <c r="F14" s="482"/>
      <c r="G14" s="484"/>
      <c r="H14" s="482"/>
      <c r="I14" s="482"/>
      <c r="J14" s="482"/>
      <c r="K14" s="482"/>
      <c r="L14" s="482"/>
      <c r="M14" s="5"/>
    </row>
    <row r="15" spans="1:13" ht="15.75" customHeight="1">
      <c r="A15" s="5"/>
      <c r="B15" s="618" t="str">
        <f>'[1]Start Up Costs'!D10</f>
        <v>Property Appreciation</v>
      </c>
      <c r="C15" s="621">
        <f>H15/4</f>
        <v>1906.25</v>
      </c>
      <c r="D15" s="621">
        <f>C15</f>
        <v>1906.25</v>
      </c>
      <c r="E15" s="621">
        <f>D15</f>
        <v>1906.25</v>
      </c>
      <c r="F15" s="621">
        <f>E15</f>
        <v>1906.25</v>
      </c>
      <c r="G15" s="620"/>
      <c r="H15" s="621">
        <f>'Financial Model'!B24-'Financial Model'!B23</f>
        <v>7625</v>
      </c>
      <c r="I15" s="621">
        <f>'Financial Model'!B25-'Financial Model'!B24</f>
        <v>7815.625</v>
      </c>
      <c r="J15" s="621">
        <f>'Financial Model'!B26-'Financial Model'!B25</f>
        <v>8011.015625</v>
      </c>
      <c r="K15" s="621">
        <f>'Financial Model'!B27-'Financial Model'!B26</f>
        <v>8211.2910156249418</v>
      </c>
      <c r="L15" s="621">
        <f>'Financial Model'!B28-'Financial Model'!B27</f>
        <v>8416.5732910155784</v>
      </c>
      <c r="M15" s="5"/>
    </row>
    <row r="16" spans="1:13" s="478" customFormat="1" ht="15.75" customHeight="1">
      <c r="A16" s="5"/>
      <c r="B16" s="615" t="s">
        <v>338</v>
      </c>
      <c r="C16" s="616">
        <f ca="1">C6+C9+C15</f>
        <v>1114.5833333333335</v>
      </c>
      <c r="D16" s="616">
        <f t="shared" ref="D16:F16" ca="1" si="10">D6+D9+D15</f>
        <v>1114.5833333333335</v>
      </c>
      <c r="E16" s="616">
        <f t="shared" ca="1" si="10"/>
        <v>1114.5833333333335</v>
      </c>
      <c r="F16" s="616">
        <f t="shared" ca="1" si="10"/>
        <v>1114.5833333333335</v>
      </c>
      <c r="G16" s="617"/>
      <c r="H16" s="616">
        <f ca="1">H6+H9+H15</f>
        <v>4458.3333333333339</v>
      </c>
      <c r="I16" s="616">
        <f t="shared" ref="I16:L16" ca="1" si="11">I6+I9+I15</f>
        <v>4648.9583333333339</v>
      </c>
      <c r="J16" s="616">
        <f t="shared" ca="1" si="11"/>
        <v>4844.3489583333339</v>
      </c>
      <c r="K16" s="616">
        <f t="shared" ca="1" si="11"/>
        <v>5044.6243489582757</v>
      </c>
      <c r="L16" s="616">
        <f t="shared" ca="1" si="11"/>
        <v>5249.9066243489124</v>
      </c>
      <c r="M16" s="5"/>
    </row>
    <row r="17" spans="1:14" ht="15.75" customHeight="1">
      <c r="A17" s="5"/>
      <c r="B17" s="195" t="s">
        <v>339</v>
      </c>
      <c r="C17" s="485">
        <f ca="1">C4+C16</f>
        <v>306114.58333333331</v>
      </c>
      <c r="D17" s="485">
        <f t="shared" ref="D17:F17" ca="1" si="12">D4+D16</f>
        <v>307229.16666666663</v>
      </c>
      <c r="E17" s="485">
        <f t="shared" ca="1" si="12"/>
        <v>308343.74999999994</v>
      </c>
      <c r="F17" s="485">
        <f t="shared" ca="1" si="12"/>
        <v>309458.33333333326</v>
      </c>
      <c r="G17" s="484"/>
      <c r="H17" s="485">
        <f ca="1">H4+H16</f>
        <v>309458.33333333331</v>
      </c>
      <c r="I17" s="485">
        <f t="shared" ref="I17:L17" ca="1" si="13">I4+I16</f>
        <v>314107.29166666663</v>
      </c>
      <c r="J17" s="485">
        <f t="shared" ca="1" si="13"/>
        <v>318951.64062499994</v>
      </c>
      <c r="K17" s="485">
        <f t="shared" ca="1" si="13"/>
        <v>323996.2649739582</v>
      </c>
      <c r="L17" s="485">
        <f t="shared" ca="1" si="13"/>
        <v>329246.17159830709</v>
      </c>
      <c r="M17" s="5"/>
      <c r="N17" s="486"/>
    </row>
    <row r="18" spans="1:14" ht="15.75" customHeight="1">
      <c r="A18" s="5"/>
      <c r="C18" s="12"/>
      <c r="D18" s="12"/>
      <c r="E18" s="12"/>
      <c r="F18" s="12"/>
      <c r="G18" s="13"/>
      <c r="H18" s="12"/>
      <c r="I18" s="12"/>
      <c r="J18" s="12"/>
      <c r="K18" s="12"/>
      <c r="L18" s="12"/>
      <c r="M18" s="5"/>
    </row>
    <row r="19" spans="1:14" ht="15.75" customHeight="1">
      <c r="A19" s="5"/>
      <c r="B19" s="8" t="s">
        <v>78</v>
      </c>
      <c r="C19" s="12"/>
      <c r="D19" s="12"/>
      <c r="E19" s="12"/>
      <c r="F19" s="12"/>
      <c r="G19" s="13"/>
      <c r="H19" s="12"/>
      <c r="I19" s="12"/>
      <c r="J19" s="12"/>
      <c r="K19" s="12"/>
      <c r="L19" s="12"/>
      <c r="M19" s="5"/>
    </row>
    <row r="20" spans="1:14" ht="15.75" customHeight="1">
      <c r="A20" s="5"/>
      <c r="B20" s="11" t="s">
        <v>79</v>
      </c>
      <c r="C20" s="12">
        <f ca="1">H20/4</f>
        <v>4386.8495999999996</v>
      </c>
      <c r="D20" s="12">
        <f ca="1">C20*2</f>
        <v>8773.6991999999991</v>
      </c>
      <c r="E20" s="12">
        <f ca="1">C20*3</f>
        <v>13160.548799999999</v>
      </c>
      <c r="F20" s="12">
        <f ca="1">C20*4</f>
        <v>17547.398399999998</v>
      </c>
      <c r="G20" s="13"/>
      <c r="H20" s="12">
        <f ca="1">'Financial Model'!U23</f>
        <v>17547.398399999998</v>
      </c>
      <c r="I20" s="12">
        <f ca="1">'Financial Model'!U24</f>
        <v>25747.163407199994</v>
      </c>
      <c r="J20" s="12">
        <f ca="1">'Financial Model'!U25</f>
        <v>34702.341407661588</v>
      </c>
      <c r="K20" s="12">
        <f ca="1">'Financial Model'!U26</f>
        <v>44449.964063325409</v>
      </c>
      <c r="L20" s="12">
        <f ca="1">'Financial Model'!U27</f>
        <v>54680.426694882895</v>
      </c>
      <c r="M20" s="5"/>
    </row>
    <row r="21" spans="1:14" ht="15.75" customHeight="1">
      <c r="A21" s="5"/>
      <c r="B21" s="11" t="s">
        <v>80</v>
      </c>
      <c r="C21" s="12">
        <f>'P&amp;L'!C8/3/30*'General Dashboard'!$I$7</f>
        <v>0</v>
      </c>
      <c r="D21" s="12">
        <f>'P&amp;L'!D8/3/30*'General Dashboard'!$I$7</f>
        <v>0</v>
      </c>
      <c r="E21" s="12">
        <f>'P&amp;L'!E8/3/30*'General Dashboard'!$I$7</f>
        <v>0</v>
      </c>
      <c r="F21" s="12">
        <f>'P&amp;L'!F8/3/30*'General Dashboard'!$I$7</f>
        <v>0</v>
      </c>
      <c r="G21" s="13"/>
      <c r="H21" s="12">
        <f t="shared" ref="H21:H24" si="14">F21</f>
        <v>0</v>
      </c>
      <c r="I21" s="12">
        <f ca="1">'P&amp;L'!I8/12/30*'General Dashboard'!$I$7</f>
        <v>0</v>
      </c>
      <c r="J21" s="12">
        <f ca="1">'P&amp;L'!J8/12/30*'General Dashboard'!$I$7</f>
        <v>0</v>
      </c>
      <c r="K21" s="12">
        <f ca="1">'P&amp;L'!K8/12/30*'General Dashboard'!$I$7</f>
        <v>0</v>
      </c>
      <c r="L21" s="12">
        <f ca="1">'P&amp;L'!L8/12/30*'General Dashboard'!$I$7</f>
        <v>0</v>
      </c>
      <c r="M21" s="5"/>
    </row>
    <row r="22" spans="1:14" ht="15.75" customHeight="1">
      <c r="A22" s="5"/>
      <c r="B22" s="11" t="s">
        <v>81</v>
      </c>
      <c r="C22" s="12"/>
      <c r="D22" s="12"/>
      <c r="E22" s="12"/>
      <c r="F22" s="12"/>
      <c r="G22" s="13"/>
      <c r="H22" s="12"/>
      <c r="I22" s="12"/>
      <c r="J22" s="12"/>
      <c r="K22" s="12"/>
      <c r="L22" s="12"/>
      <c r="M22" s="5"/>
    </row>
    <row r="23" spans="1:14" ht="15.75" customHeight="1">
      <c r="A23" s="5"/>
      <c r="B23" s="11" t="s">
        <v>82</v>
      </c>
      <c r="C23" s="12">
        <v>0</v>
      </c>
      <c r="D23" s="12">
        <v>0</v>
      </c>
      <c r="E23" s="12">
        <v>0</v>
      </c>
      <c r="F23" s="12">
        <v>0</v>
      </c>
      <c r="G23" s="13"/>
      <c r="H23" s="12">
        <f t="shared" si="14"/>
        <v>0</v>
      </c>
      <c r="I23" s="12">
        <v>0</v>
      </c>
      <c r="J23" s="12">
        <v>0</v>
      </c>
      <c r="K23" s="12">
        <v>0</v>
      </c>
      <c r="L23" s="12">
        <v>0</v>
      </c>
      <c r="M23" s="5"/>
    </row>
    <row r="24" spans="1:14" ht="15.75" customHeight="1">
      <c r="A24" s="5"/>
      <c r="B24" s="11" t="s">
        <v>83</v>
      </c>
      <c r="C24" s="12">
        <v>0</v>
      </c>
      <c r="D24" s="12">
        <v>0</v>
      </c>
      <c r="E24" s="12">
        <v>0</v>
      </c>
      <c r="F24" s="12">
        <v>0</v>
      </c>
      <c r="G24" s="13"/>
      <c r="H24" s="12">
        <f t="shared" si="14"/>
        <v>0</v>
      </c>
      <c r="I24" s="12">
        <v>0</v>
      </c>
      <c r="J24" s="12">
        <v>0</v>
      </c>
      <c r="K24" s="12">
        <v>0</v>
      </c>
      <c r="L24" s="12">
        <v>0</v>
      </c>
      <c r="M24" s="5"/>
    </row>
    <row r="25" spans="1:14" ht="15.75" customHeight="1">
      <c r="A25" s="5"/>
      <c r="B25" s="8" t="s">
        <v>84</v>
      </c>
      <c r="C25" s="14">
        <f t="shared" ref="C25:F25" ca="1" si="15">SUM(C20:C24)</f>
        <v>4386.8495999999996</v>
      </c>
      <c r="D25" s="14">
        <f t="shared" ca="1" si="15"/>
        <v>8773.6991999999991</v>
      </c>
      <c r="E25" s="14">
        <f t="shared" ca="1" si="15"/>
        <v>13160.548799999999</v>
      </c>
      <c r="F25" s="14">
        <f t="shared" ca="1" si="15"/>
        <v>17547.398399999998</v>
      </c>
      <c r="G25" s="15"/>
      <c r="H25" s="14">
        <f t="shared" ref="H25:L25" ca="1" si="16">SUM(H20:H24)</f>
        <v>17547.398399999998</v>
      </c>
      <c r="I25" s="14">
        <f t="shared" ca="1" si="16"/>
        <v>25747.163407199994</v>
      </c>
      <c r="J25" s="14">
        <f t="shared" ca="1" si="16"/>
        <v>34702.341407661588</v>
      </c>
      <c r="K25" s="14">
        <f t="shared" ca="1" si="16"/>
        <v>44449.964063325409</v>
      </c>
      <c r="L25" s="14">
        <f t="shared" ca="1" si="16"/>
        <v>54680.426694882895</v>
      </c>
      <c r="M25" s="5"/>
    </row>
    <row r="26" spans="1:14" ht="15.75" customHeight="1">
      <c r="A26" s="5"/>
      <c r="C26" s="12"/>
      <c r="D26" s="12"/>
      <c r="E26" s="12"/>
      <c r="F26" s="12"/>
      <c r="G26" s="13"/>
      <c r="H26" s="12"/>
      <c r="I26" s="12"/>
      <c r="J26" s="12"/>
      <c r="K26" s="12"/>
      <c r="L26" s="12"/>
      <c r="M26" s="5"/>
    </row>
    <row r="27" spans="1:14" ht="15.75" customHeight="1">
      <c r="A27" s="5"/>
      <c r="B27" s="8" t="s">
        <v>85</v>
      </c>
      <c r="C27" s="12"/>
      <c r="D27" s="12"/>
      <c r="E27" s="12"/>
      <c r="F27" s="12"/>
      <c r="G27" s="13"/>
      <c r="H27" s="12"/>
      <c r="I27" s="12"/>
      <c r="J27" s="12"/>
      <c r="K27" s="12"/>
      <c r="L27" s="12"/>
      <c r="M27" s="5"/>
    </row>
    <row r="28" spans="1:14" ht="15.75" customHeight="1">
      <c r="A28" s="5"/>
      <c r="B28" s="16" t="s">
        <v>86</v>
      </c>
      <c r="C28" s="12">
        <v>0</v>
      </c>
      <c r="D28" s="12">
        <v>0</v>
      </c>
      <c r="E28" s="12">
        <v>0</v>
      </c>
      <c r="F28" s="12">
        <v>0</v>
      </c>
      <c r="G28" s="13"/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5"/>
    </row>
    <row r="29" spans="1:14" ht="15.75" customHeight="1">
      <c r="A29" s="5"/>
      <c r="B29" s="16" t="s">
        <v>87</v>
      </c>
      <c r="C29" s="12">
        <v>0</v>
      </c>
      <c r="D29" s="12">
        <v>0</v>
      </c>
      <c r="E29" s="12">
        <v>0</v>
      </c>
      <c r="F29" s="12">
        <v>0</v>
      </c>
      <c r="G29" s="13"/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5"/>
      <c r="N29" s="16"/>
    </row>
    <row r="30" spans="1:14" ht="15.75" customHeight="1">
      <c r="A30" s="5"/>
      <c r="B30" s="16" t="s">
        <v>88</v>
      </c>
      <c r="C30" s="12">
        <f ca="1">Tax!C17</f>
        <v>0</v>
      </c>
      <c r="D30" s="12">
        <f ca="1">SUM(Tax!$C$17:'Tax'!D17)</f>
        <v>0</v>
      </c>
      <c r="E30" s="12">
        <f ca="1">SUM(Tax!$C$17:'Tax'!E17)</f>
        <v>0</v>
      </c>
      <c r="F30" s="12">
        <f ca="1">SUM(Tax!$C$17:'Tax'!F17)</f>
        <v>0</v>
      </c>
      <c r="G30" s="13"/>
      <c r="H30" s="12">
        <f t="shared" ref="H30:H33" ca="1" si="17">F30</f>
        <v>0</v>
      </c>
      <c r="I30" s="12">
        <f ca="1">Tax!I17</f>
        <v>0</v>
      </c>
      <c r="J30" s="12">
        <f ca="1">Tax!J17</f>
        <v>0</v>
      </c>
      <c r="K30" s="12">
        <f ca="1">Tax!K17</f>
        <v>0</v>
      </c>
      <c r="L30" s="12">
        <f ca="1">Tax!L17</f>
        <v>-348.15226850084946</v>
      </c>
      <c r="M30" s="5"/>
    </row>
    <row r="31" spans="1:14" ht="15.75" customHeight="1">
      <c r="A31" s="5"/>
      <c r="B31" s="16" t="s">
        <v>89</v>
      </c>
      <c r="C31" s="12">
        <f>IF('Community Shares'!$C$5="No",-'Community Shares'!$C$9/4,0)</f>
        <v>-2592.375</v>
      </c>
      <c r="D31" s="12">
        <f>IF('Community Shares'!$C$5="No",-'Community Shares'!$C$9/4,0)+C31</f>
        <v>-5184.75</v>
      </c>
      <c r="E31" s="12">
        <f>IF('Community Shares'!$C$5="No",-'Community Shares'!$C$9/4,0)+D31</f>
        <v>-7777.125</v>
      </c>
      <c r="F31" s="12">
        <f>IF('Community Shares'!$C$5="No",-'Community Shares'!$C$9/4,0)+E31</f>
        <v>-10369.5</v>
      </c>
      <c r="G31" s="13"/>
      <c r="H31" s="12">
        <f t="shared" si="17"/>
        <v>-10369.5</v>
      </c>
      <c r="I31" s="12">
        <f>IF('Community Shares'!$C$5="No",-'Community Shares'!D$9,0)</f>
        <v>-10369.5</v>
      </c>
      <c r="J31" s="12">
        <f>IF('Community Shares'!$C$5="No",-'Community Shares'!E$9,0)</f>
        <v>-10369.5</v>
      </c>
      <c r="K31" s="12">
        <f>IF('Community Shares'!$C$5="No",-'Community Shares'!F$9,0)</f>
        <v>-10369.5</v>
      </c>
      <c r="L31" s="12">
        <f>IF('Community Shares'!$C$5="No",-'Community Shares'!G$9,0)</f>
        <v>-10369.5</v>
      </c>
      <c r="M31" s="5"/>
    </row>
    <row r="32" spans="1:14" ht="15.75" customHeight="1">
      <c r="A32" s="5"/>
      <c r="B32" s="16" t="s">
        <v>90</v>
      </c>
      <c r="C32" s="12">
        <v>0</v>
      </c>
      <c r="D32" s="12">
        <v>0</v>
      </c>
      <c r="E32" s="12">
        <v>0</v>
      </c>
      <c r="F32" s="12">
        <v>0</v>
      </c>
      <c r="G32" s="13"/>
      <c r="H32" s="12">
        <f t="shared" si="17"/>
        <v>0</v>
      </c>
      <c r="I32" s="12">
        <v>0</v>
      </c>
      <c r="J32" s="12">
        <v>0</v>
      </c>
      <c r="K32" s="12">
        <v>0</v>
      </c>
      <c r="L32" s="12">
        <v>0</v>
      </c>
      <c r="M32" s="5"/>
    </row>
    <row r="33" spans="1:13" ht="15.75" customHeight="1">
      <c r="A33" s="5"/>
      <c r="B33" s="16" t="s">
        <v>91</v>
      </c>
      <c r="C33" s="12">
        <v>0</v>
      </c>
      <c r="D33" s="12">
        <v>0</v>
      </c>
      <c r="E33" s="12">
        <v>0</v>
      </c>
      <c r="F33" s="12">
        <v>0</v>
      </c>
      <c r="G33" s="13"/>
      <c r="H33" s="12">
        <f t="shared" si="17"/>
        <v>0</v>
      </c>
      <c r="I33" s="12">
        <v>0</v>
      </c>
      <c r="J33" s="12">
        <v>0</v>
      </c>
      <c r="K33" s="12">
        <v>0</v>
      </c>
      <c r="L33" s="12">
        <v>0</v>
      </c>
      <c r="M33" s="5"/>
    </row>
    <row r="34" spans="1:13" ht="15.75" customHeight="1">
      <c r="A34" s="5"/>
      <c r="B34" s="16" t="s">
        <v>92</v>
      </c>
      <c r="C34" s="12">
        <v>0</v>
      </c>
      <c r="D34" s="12">
        <v>0</v>
      </c>
      <c r="E34" s="12">
        <v>0</v>
      </c>
      <c r="F34" s="12">
        <v>0</v>
      </c>
      <c r="G34" s="13"/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5"/>
    </row>
    <row r="35" spans="1:13" ht="15.75" customHeight="1">
      <c r="A35" s="5"/>
      <c r="B35" s="16" t="s">
        <v>93</v>
      </c>
      <c r="C35" s="12">
        <f>Mortgage!E68-Mortgage!D68</f>
        <v>0</v>
      </c>
      <c r="D35" s="12">
        <f>Mortgage!E72-Mortgage!D72</f>
        <v>0</v>
      </c>
      <c r="E35" s="12">
        <f>Mortgage!E76-Mortgage!D76</f>
        <v>0</v>
      </c>
      <c r="F35" s="12">
        <f>Mortgage!E80-Mortgage!D80</f>
        <v>0</v>
      </c>
      <c r="G35" s="13"/>
      <c r="H35" s="12">
        <f>F35</f>
        <v>0</v>
      </c>
      <c r="I35" s="12">
        <f>Mortgage!F63-Mortgage!E63</f>
        <v>0</v>
      </c>
      <c r="J35" s="12">
        <f>Mortgage!G63-Mortgage!F63</f>
        <v>0</v>
      </c>
      <c r="K35" s="12">
        <f>Mortgage!H63-Mortgage!G63</f>
        <v>0</v>
      </c>
      <c r="L35" s="12">
        <f>Mortgage!I63-Mortgage!H63</f>
        <v>0</v>
      </c>
      <c r="M35" s="5"/>
    </row>
    <row r="36" spans="1:13" ht="15.75" customHeight="1">
      <c r="A36" s="5"/>
      <c r="B36" s="16" t="s">
        <v>94</v>
      </c>
      <c r="C36" s="12">
        <v>0</v>
      </c>
      <c r="D36" s="12">
        <v>0</v>
      </c>
      <c r="E36" s="12">
        <v>0</v>
      </c>
      <c r="F36" s="12">
        <v>0</v>
      </c>
      <c r="G36" s="13"/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5"/>
    </row>
    <row r="37" spans="1:13" ht="15.75" customHeight="1">
      <c r="A37" s="5"/>
      <c r="B37" s="8" t="s">
        <v>95</v>
      </c>
      <c r="C37" s="18">
        <f t="shared" ref="C37:F37" ca="1" si="18">SUM(C28:C36)</f>
        <v>-2592.375</v>
      </c>
      <c r="D37" s="18">
        <f t="shared" ca="1" si="18"/>
        <v>-5184.75</v>
      </c>
      <c r="E37" s="18">
        <f t="shared" ca="1" si="18"/>
        <v>-7777.125</v>
      </c>
      <c r="F37" s="18">
        <f t="shared" ca="1" si="18"/>
        <v>-10369.5</v>
      </c>
      <c r="G37" s="13"/>
      <c r="H37" s="18">
        <f t="shared" ref="H37:L37" ca="1" si="19">SUM(H28:H36)</f>
        <v>-10369.5</v>
      </c>
      <c r="I37" s="18">
        <f t="shared" ca="1" si="19"/>
        <v>-10369.5</v>
      </c>
      <c r="J37" s="18">
        <f t="shared" ca="1" si="19"/>
        <v>-10369.5</v>
      </c>
      <c r="K37" s="18">
        <f t="shared" ca="1" si="19"/>
        <v>-10369.5</v>
      </c>
      <c r="L37" s="18">
        <f t="shared" ca="1" si="19"/>
        <v>-10717.652268500849</v>
      </c>
      <c r="M37" s="5"/>
    </row>
    <row r="38" spans="1:13" ht="15.75" customHeight="1">
      <c r="A38" s="5"/>
      <c r="C38" s="12"/>
      <c r="D38" s="12"/>
      <c r="E38" s="12"/>
      <c r="F38" s="12"/>
      <c r="G38" s="13"/>
      <c r="H38" s="12"/>
      <c r="I38" s="12"/>
      <c r="J38" s="12"/>
      <c r="K38" s="12"/>
      <c r="L38" s="12"/>
      <c r="M38" s="5"/>
    </row>
    <row r="39" spans="1:13" ht="15.75" customHeight="1">
      <c r="A39" s="5"/>
      <c r="B39" s="8" t="s">
        <v>96</v>
      </c>
      <c r="C39" s="18">
        <f t="shared" ref="C39:F39" ca="1" si="20">C25+C37</f>
        <v>1794.4745999999996</v>
      </c>
      <c r="D39" s="18">
        <f t="shared" ca="1" si="20"/>
        <v>3588.9491999999991</v>
      </c>
      <c r="E39" s="18">
        <f t="shared" ca="1" si="20"/>
        <v>5383.4237999999987</v>
      </c>
      <c r="F39" s="18">
        <f t="shared" ca="1" si="20"/>
        <v>7177.8983999999982</v>
      </c>
      <c r="G39" s="13"/>
      <c r="H39" s="18">
        <f t="shared" ref="H39:L39" ca="1" si="21">H25+H37</f>
        <v>7177.8983999999982</v>
      </c>
      <c r="I39" s="18">
        <f t="shared" ca="1" si="21"/>
        <v>15377.663407199994</v>
      </c>
      <c r="J39" s="18">
        <f t="shared" ca="1" si="21"/>
        <v>24332.841407661588</v>
      </c>
      <c r="K39" s="18">
        <f t="shared" ca="1" si="21"/>
        <v>34080.464063325409</v>
      </c>
      <c r="L39" s="18">
        <f t="shared" ca="1" si="21"/>
        <v>43962.77442638205</v>
      </c>
      <c r="M39" s="5"/>
    </row>
    <row r="40" spans="1:13" ht="15.75" customHeight="1">
      <c r="A40" s="5"/>
      <c r="C40" s="12"/>
      <c r="D40" s="12"/>
      <c r="E40" s="12"/>
      <c r="F40" s="12"/>
      <c r="G40" s="13"/>
      <c r="H40" s="12"/>
      <c r="I40" s="12"/>
      <c r="J40" s="12"/>
      <c r="K40" s="12"/>
      <c r="L40" s="12"/>
      <c r="M40" s="5"/>
    </row>
    <row r="41" spans="1:13" ht="15.75" customHeight="1">
      <c r="A41" s="5"/>
      <c r="B41" s="8" t="s">
        <v>97</v>
      </c>
      <c r="C41" s="12"/>
      <c r="D41" s="12"/>
      <c r="E41" s="12"/>
      <c r="F41" s="12"/>
      <c r="G41" s="13"/>
      <c r="H41" s="12"/>
      <c r="I41" s="12"/>
      <c r="J41" s="12"/>
      <c r="K41" s="12"/>
      <c r="L41" s="12"/>
      <c r="M41" s="5"/>
    </row>
    <row r="42" spans="1:13" ht="15.75" customHeight="1">
      <c r="A42" s="5"/>
      <c r="B42" s="11" t="s">
        <v>98</v>
      </c>
      <c r="C42" s="12">
        <f>-Mortgage!E68</f>
        <v>0</v>
      </c>
      <c r="D42" s="12">
        <f>-Mortgage!E72</f>
        <v>0</v>
      </c>
      <c r="E42" s="12">
        <f>-Mortgage!E76</f>
        <v>0</v>
      </c>
      <c r="F42" s="12">
        <f>-Mortgage!E80</f>
        <v>0</v>
      </c>
      <c r="G42" s="13"/>
      <c r="H42" s="12">
        <f>F42</f>
        <v>0</v>
      </c>
      <c r="I42" s="12">
        <f>-Mortgage!F63</f>
        <v>0</v>
      </c>
      <c r="J42" s="12">
        <f>-Mortgage!G63</f>
        <v>0</v>
      </c>
      <c r="K42" s="12">
        <f>-Mortgage!H63</f>
        <v>0</v>
      </c>
      <c r="L42" s="12">
        <f>-Mortgage!I63</f>
        <v>0</v>
      </c>
      <c r="M42" s="5"/>
    </row>
    <row r="43" spans="1:13" ht="15.75" customHeight="1">
      <c r="A43" s="5"/>
      <c r="B43" s="11" t="s">
        <v>99</v>
      </c>
      <c r="C43" s="12">
        <v>0</v>
      </c>
      <c r="D43" s="12">
        <v>0</v>
      </c>
      <c r="E43" s="12">
        <v>0</v>
      </c>
      <c r="F43" s="12">
        <v>0</v>
      </c>
      <c r="G43" s="13"/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5"/>
    </row>
    <row r="44" spans="1:13" ht="15.75" customHeight="1">
      <c r="A44" s="5"/>
      <c r="B44" s="8" t="s">
        <v>100</v>
      </c>
      <c r="C44" s="18">
        <f t="shared" ref="C44:F44" si="22">SUM(C42:C43)</f>
        <v>0</v>
      </c>
      <c r="D44" s="18">
        <f t="shared" si="22"/>
        <v>0</v>
      </c>
      <c r="E44" s="18">
        <f t="shared" si="22"/>
        <v>0</v>
      </c>
      <c r="F44" s="18">
        <f t="shared" si="22"/>
        <v>0</v>
      </c>
      <c r="G44" s="13"/>
      <c r="H44" s="18">
        <f>F44</f>
        <v>0</v>
      </c>
      <c r="I44" s="18">
        <f t="shared" ref="I44:L44" si="23">SUM(I42:I43)</f>
        <v>0</v>
      </c>
      <c r="J44" s="18">
        <f t="shared" si="23"/>
        <v>0</v>
      </c>
      <c r="K44" s="18">
        <f t="shared" si="23"/>
        <v>0</v>
      </c>
      <c r="L44" s="18">
        <f t="shared" si="23"/>
        <v>0</v>
      </c>
      <c r="M44" s="5"/>
    </row>
    <row r="45" spans="1:13" ht="15.75" customHeight="1">
      <c r="A45" s="5"/>
      <c r="C45" s="12"/>
      <c r="D45" s="12"/>
      <c r="E45" s="12"/>
      <c r="F45" s="12"/>
      <c r="G45" s="13"/>
      <c r="H45" s="12"/>
      <c r="I45" s="12"/>
      <c r="J45" s="12"/>
      <c r="K45" s="12"/>
      <c r="L45" s="12"/>
      <c r="M45" s="5"/>
    </row>
    <row r="46" spans="1:13" ht="15.75" customHeight="1">
      <c r="A46" s="5"/>
      <c r="B46" s="8" t="s">
        <v>101</v>
      </c>
      <c r="C46" s="18">
        <f t="shared" ref="C46:F46" ca="1" si="24">C17+C39+C44</f>
        <v>307909.05793333333</v>
      </c>
      <c r="D46" s="18">
        <f t="shared" ca="1" si="24"/>
        <v>310818.1158666666</v>
      </c>
      <c r="E46" s="18">
        <f t="shared" ca="1" si="24"/>
        <v>313727.17379999993</v>
      </c>
      <c r="F46" s="18">
        <f t="shared" ca="1" si="24"/>
        <v>316636.23173333326</v>
      </c>
      <c r="G46" s="13"/>
      <c r="H46" s="18">
        <f ca="1">F46</f>
        <v>316636.23173333326</v>
      </c>
      <c r="I46" s="18">
        <f t="shared" ref="I46:L46" ca="1" si="25">I17+I39+I44</f>
        <v>329484.95507386664</v>
      </c>
      <c r="J46" s="18">
        <f t="shared" ca="1" si="25"/>
        <v>343284.48203266156</v>
      </c>
      <c r="K46" s="18">
        <f t="shared" ca="1" si="25"/>
        <v>358076.72903728363</v>
      </c>
      <c r="L46" s="18">
        <f t="shared" ca="1" si="25"/>
        <v>373208.94602468912</v>
      </c>
      <c r="M46" s="5"/>
    </row>
    <row r="47" spans="1:13" ht="15.75" customHeight="1">
      <c r="A47" s="5"/>
      <c r="B47" s="16" t="s">
        <v>102</v>
      </c>
      <c r="C47" s="19"/>
      <c r="D47" s="19"/>
      <c r="E47" s="19"/>
      <c r="F47" s="19"/>
      <c r="G47" s="13"/>
      <c r="H47" s="19"/>
      <c r="I47" s="19"/>
      <c r="J47" s="19"/>
      <c r="K47" s="19"/>
      <c r="L47" s="19"/>
      <c r="M47" s="5"/>
    </row>
    <row r="48" spans="1:13" ht="15.75" customHeight="1">
      <c r="A48" s="5"/>
      <c r="B48" s="16" t="s">
        <v>103</v>
      </c>
      <c r="C48" s="12">
        <f ca="1">'P&amp;L'!C34</f>
        <v>-13958.734899999999</v>
      </c>
      <c r="D48" s="12">
        <f ca="1">C48+'P&amp;L'!D34</f>
        <v>-10267.469799999999</v>
      </c>
      <c r="E48" s="12">
        <f ca="1">D48+'P&amp;L'!E34</f>
        <v>-6576.2046999999993</v>
      </c>
      <c r="F48" s="12">
        <f ca="1">E48+'P&amp;L'!F34</f>
        <v>-2884.9395999999997</v>
      </c>
      <c r="G48" s="13"/>
      <c r="H48" s="12">
        <f ca="1">F48</f>
        <v>-2884.9395999999997</v>
      </c>
      <c r="I48" s="12">
        <f ca="1">H48+'P&amp;L'!I34</f>
        <v>2454.5819432000008</v>
      </c>
      <c r="J48" s="12">
        <f ca="1">I48+'P&amp;L'!J34</f>
        <v>8469.4296626695959</v>
      </c>
      <c r="K48" s="12">
        <f ca="1">J48+'P&amp;L'!K34</f>
        <v>15194.392789473643</v>
      </c>
      <c r="L48" s="12">
        <f ca="1">K48+'P&amp;L'!L34</f>
        <v>22317.561425363274</v>
      </c>
      <c r="M48" s="5"/>
    </row>
    <row r="49" spans="1:13" ht="15.75" customHeight="1">
      <c r="A49" s="5"/>
      <c r="B49" s="16" t="s">
        <v>32</v>
      </c>
      <c r="C49" s="12">
        <f>'Community Shares'!C3-C31</f>
        <v>348242.375</v>
      </c>
      <c r="D49" s="12">
        <f t="shared" ref="D49:F49" si="26">C49-D31</f>
        <v>353427.125</v>
      </c>
      <c r="E49" s="12">
        <f t="shared" si="26"/>
        <v>361204.25</v>
      </c>
      <c r="F49" s="12">
        <f t="shared" si="26"/>
        <v>371573.75</v>
      </c>
      <c r="G49" s="13"/>
      <c r="H49" s="12">
        <f>'Community Shares'!C12</f>
        <v>345650</v>
      </c>
      <c r="I49" s="12">
        <f>'Community Shares'!D12</f>
        <v>345650</v>
      </c>
      <c r="J49" s="12">
        <f>'Community Shares'!E12</f>
        <v>345650</v>
      </c>
      <c r="K49" s="12">
        <f>'Community Shares'!F12</f>
        <v>345650</v>
      </c>
      <c r="L49" s="12">
        <f>'Community Shares'!G12</f>
        <v>345650</v>
      </c>
      <c r="M49" s="5"/>
    </row>
    <row r="50" spans="1:13" ht="15.75" customHeight="1">
      <c r="A50" s="5"/>
      <c r="B50" s="5"/>
      <c r="C50" s="17"/>
      <c r="D50" s="17"/>
      <c r="E50" s="17"/>
      <c r="F50" s="17"/>
      <c r="G50" s="13"/>
      <c r="H50" s="17"/>
      <c r="I50" s="17"/>
      <c r="J50" s="17"/>
      <c r="K50" s="17"/>
      <c r="L50" s="17"/>
      <c r="M50" s="5"/>
    </row>
    <row r="51" spans="1:13" ht="15.75" customHeight="1">
      <c r="B51" s="16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1:13" ht="15.75" customHeight="1">
      <c r="B52" s="16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1:13" ht="15.75" customHeight="1">
      <c r="H53" s="12"/>
      <c r="I53" s="12"/>
      <c r="J53" s="12"/>
      <c r="K53" s="12"/>
      <c r="L53" s="12"/>
    </row>
  </sheetData>
  <pageMargins left="0.39370078740157483" right="0.39370078740157483" top="0.39370078740157483" bottom="0.39370078740157483" header="0.31496062992125984" footer="0.31496062992125984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1:P1000"/>
  <sheetViews>
    <sheetView topLeftCell="A20" workbookViewId="0">
      <selection activeCell="L33" sqref="L33"/>
    </sheetView>
  </sheetViews>
  <sheetFormatPr defaultColWidth="12.7109375" defaultRowHeight="15.75" customHeight="1"/>
  <cols>
    <col min="1" max="1" width="2.140625" customWidth="1"/>
    <col min="2" max="2" width="10.140625" customWidth="1"/>
    <col min="3" max="3" width="11.140625" bestFit="1" customWidth="1"/>
    <col min="4" max="4" width="10.140625" customWidth="1"/>
    <col min="5" max="5" width="13.28515625" customWidth="1"/>
    <col min="6" max="6" width="10.140625" customWidth="1"/>
    <col min="7" max="8" width="11.140625" bestFit="1" customWidth="1"/>
    <col min="9" max="9" width="10.140625" customWidth="1"/>
    <col min="10" max="10" width="12.85546875" customWidth="1"/>
    <col min="11" max="14" width="10.140625" customWidth="1"/>
    <col min="15" max="15" width="15.5703125" customWidth="1"/>
    <col min="16" max="16" width="10.140625" customWidth="1"/>
    <col min="17" max="26" width="7" customWidth="1"/>
  </cols>
  <sheetData>
    <row r="1" spans="2:16" ht="17.25" customHeight="1">
      <c r="B1" s="745" t="s">
        <v>138</v>
      </c>
      <c r="C1" s="730"/>
      <c r="D1" s="730"/>
      <c r="E1" s="730"/>
      <c r="F1" s="730"/>
      <c r="G1" s="730"/>
      <c r="H1" s="730"/>
      <c r="I1" s="730"/>
      <c r="J1" s="730"/>
      <c r="K1" s="730"/>
      <c r="L1" s="730"/>
      <c r="M1" s="730"/>
      <c r="N1" s="730"/>
      <c r="O1" s="731"/>
    </row>
    <row r="2" spans="2:16" ht="12.75" customHeight="1"/>
    <row r="3" spans="2:16" ht="12.75" customHeight="1">
      <c r="B3" s="746" t="str">
        <f>B18</f>
        <v>SDLT – England / NI</v>
      </c>
      <c r="C3" s="747"/>
      <c r="D3" s="747"/>
      <c r="E3" s="748"/>
      <c r="G3" s="746" t="str">
        <f>G18</f>
        <v>LBTT – Scotland</v>
      </c>
      <c r="H3" s="747"/>
      <c r="I3" s="747"/>
      <c r="J3" s="748"/>
      <c r="L3" s="746" t="str">
        <f>L18</f>
        <v>LTT – Wales</v>
      </c>
      <c r="M3" s="747"/>
      <c r="N3" s="747"/>
      <c r="O3" s="748"/>
    </row>
    <row r="4" spans="2:16" ht="12.75" customHeight="1">
      <c r="B4" s="46"/>
      <c r="E4" s="70"/>
      <c r="G4" s="46"/>
      <c r="J4" s="70"/>
      <c r="L4" s="46"/>
      <c r="O4" s="70"/>
    </row>
    <row r="5" spans="2:16" ht="24" customHeight="1">
      <c r="B5" s="749" t="str">
        <f>B20</f>
        <v>Band</v>
      </c>
      <c r="C5" s="750"/>
      <c r="D5" s="51" t="str">
        <f t="shared" ref="D5:E5" si="0">D20</f>
        <v>Rate</v>
      </c>
      <c r="E5" s="71" t="str">
        <f t="shared" si="0"/>
        <v>Full cost of band</v>
      </c>
      <c r="G5" s="749" t="str">
        <f>G20</f>
        <v>Band</v>
      </c>
      <c r="H5" s="750"/>
      <c r="I5" s="51" t="str">
        <f t="shared" ref="I5:J5" si="1">I20</f>
        <v>Rate</v>
      </c>
      <c r="J5" s="71" t="str">
        <f t="shared" si="1"/>
        <v>Full cost of band</v>
      </c>
      <c r="L5" s="749" t="str">
        <f>L20</f>
        <v>Band</v>
      </c>
      <c r="M5" s="750"/>
      <c r="N5" s="51" t="str">
        <f t="shared" ref="N5:O5" si="2">N20</f>
        <v>Rate</v>
      </c>
      <c r="O5" s="71" t="str">
        <f t="shared" si="2"/>
        <v>Full cost of band</v>
      </c>
    </row>
    <row r="6" spans="2:16" ht="14.25" customHeight="1">
      <c r="B6" s="72">
        <v>0</v>
      </c>
      <c r="C6" s="73">
        <v>150000</v>
      </c>
      <c r="D6" s="74">
        <v>0</v>
      </c>
      <c r="E6" s="75">
        <f>C6*D6</f>
        <v>0</v>
      </c>
      <c r="G6" s="72">
        <v>0</v>
      </c>
      <c r="H6" s="22">
        <v>150000</v>
      </c>
      <c r="I6" s="74">
        <v>0</v>
      </c>
      <c r="J6" s="47">
        <f>H6*I6</f>
        <v>0</v>
      </c>
      <c r="L6" s="72">
        <v>0</v>
      </c>
      <c r="M6" s="22">
        <v>150000</v>
      </c>
      <c r="N6" s="74">
        <v>0</v>
      </c>
      <c r="O6" s="47">
        <f>M6*N6</f>
        <v>0</v>
      </c>
    </row>
    <row r="7" spans="2:16" ht="12.75" customHeight="1">
      <c r="B7" s="46"/>
      <c r="C7" s="76"/>
      <c r="E7" s="75"/>
      <c r="G7" s="46"/>
      <c r="J7" s="70"/>
      <c r="L7" s="46"/>
      <c r="O7" s="70"/>
    </row>
    <row r="8" spans="2:16" ht="14.25" customHeight="1">
      <c r="B8" s="72">
        <v>150001</v>
      </c>
      <c r="C8" s="73">
        <v>250000</v>
      </c>
      <c r="D8" s="74">
        <v>0.02</v>
      </c>
      <c r="E8" s="75">
        <f>(C8-C6)*D8</f>
        <v>2000</v>
      </c>
      <c r="G8" s="72">
        <v>150001</v>
      </c>
      <c r="H8" s="22">
        <v>250000</v>
      </c>
      <c r="I8" s="74">
        <v>0.01</v>
      </c>
      <c r="J8" s="47">
        <f>(H8-H6)*I8</f>
        <v>1000</v>
      </c>
      <c r="L8" s="72">
        <v>150001</v>
      </c>
      <c r="M8" s="22">
        <v>250000</v>
      </c>
      <c r="N8" s="74">
        <v>0.01</v>
      </c>
      <c r="O8" s="47">
        <f>(M8-M6)*N8</f>
        <v>1000</v>
      </c>
    </row>
    <row r="9" spans="2:16" ht="12.75" customHeight="1">
      <c r="B9" s="46"/>
      <c r="C9" s="76"/>
      <c r="E9" s="75"/>
      <c r="G9" s="46"/>
      <c r="J9" s="70"/>
      <c r="L9" s="46"/>
      <c r="O9" s="70"/>
    </row>
    <row r="10" spans="2:16" ht="14.25" customHeight="1">
      <c r="B10" s="77" t="s">
        <v>155</v>
      </c>
      <c r="C10" s="73">
        <v>250000</v>
      </c>
      <c r="D10" s="74">
        <v>0.05</v>
      </c>
      <c r="E10" s="75"/>
      <c r="G10" s="46" t="s">
        <v>155</v>
      </c>
      <c r="H10" s="22">
        <v>250000</v>
      </c>
      <c r="I10" s="74">
        <v>0.05</v>
      </c>
      <c r="J10" s="70"/>
      <c r="L10" s="72">
        <v>250001</v>
      </c>
      <c r="M10" s="22">
        <v>1000000</v>
      </c>
      <c r="N10" s="74">
        <v>0.05</v>
      </c>
      <c r="O10" s="47">
        <f>(M10-M8)*N10</f>
        <v>37500</v>
      </c>
    </row>
    <row r="11" spans="2:16" ht="12.75" customHeight="1">
      <c r="B11" s="46"/>
      <c r="D11" s="78" t="s">
        <v>156</v>
      </c>
      <c r="E11" s="79">
        <f>IF('Start Up Costs'!$D$14&lt;C6,'Start Up Costs'!$D$14*D6,IF('Start Up Costs'!$D$14&lt;C8,(D8*('Start Up Costs'!$D$14-C8)+E6),('Start Up Costs'!$D$14-C10)*D10+SUM(E6:E8)))</f>
        <v>4500</v>
      </c>
      <c r="G11" s="46"/>
      <c r="I11" s="78" t="s">
        <v>156</v>
      </c>
      <c r="J11" s="79">
        <f>IF('Start Up Costs'!$D$14&lt;H6,'Start Up Costs'!$D$14*I6,IF('Start Up Costs'!$D$14&lt;H8,(I8*('Start Up Costs'!$D$14-H8)+J6),('Start Up Costs'!$D$14-H10)*I10+SUM(J6:J8)))</f>
        <v>3500</v>
      </c>
      <c r="L11" s="46"/>
      <c r="O11" s="80"/>
    </row>
    <row r="12" spans="2:16" ht="35.25" customHeight="1">
      <c r="B12" s="751" t="s">
        <v>157</v>
      </c>
      <c r="C12" s="752"/>
      <c r="D12" s="752"/>
      <c r="E12" s="753"/>
      <c r="G12" s="751" t="s">
        <v>158</v>
      </c>
      <c r="H12" s="752"/>
      <c r="I12" s="752"/>
      <c r="J12" s="753"/>
      <c r="L12" s="46" t="s">
        <v>155</v>
      </c>
      <c r="M12" s="22">
        <v>1000000</v>
      </c>
      <c r="N12" s="74">
        <v>0.06</v>
      </c>
      <c r="O12" s="70"/>
    </row>
    <row r="13" spans="2:16" ht="12.75" customHeight="1">
      <c r="L13" s="46"/>
      <c r="N13" s="78" t="s">
        <v>156</v>
      </c>
      <c r="O13" s="81">
        <f>IF('Start Up Costs'!$D$14&lt;M6,'Start Up Costs'!$D$14*N6,IF('Start Up Costs'!$D$14&lt;M8,(N8*('Start Up Costs'!$D$14-M8)+O6),IF('Start Up Costs'!$D$14&lt;M10,N10*('Start Up Costs'!$D$14-M8)+SUM(O6:O8),('Start Up Costs'!$D$14-M10)*N12+SUM(O6:O10))))</f>
        <v>3500</v>
      </c>
    </row>
    <row r="14" spans="2:16" ht="35.25" customHeight="1">
      <c r="C14" s="22"/>
      <c r="L14" s="751" t="s">
        <v>159</v>
      </c>
      <c r="M14" s="752"/>
      <c r="N14" s="752"/>
      <c r="O14" s="753"/>
      <c r="P14" s="82"/>
    </row>
    <row r="15" spans="2:16" ht="12.75" customHeight="1"/>
    <row r="16" spans="2:16" ht="17.25" customHeight="1">
      <c r="B16" s="745" t="s">
        <v>160</v>
      </c>
      <c r="C16" s="730"/>
      <c r="D16" s="730"/>
      <c r="E16" s="730"/>
      <c r="F16" s="730"/>
      <c r="G16" s="730"/>
      <c r="H16" s="730"/>
      <c r="I16" s="730"/>
      <c r="J16" s="730"/>
      <c r="K16" s="730"/>
      <c r="L16" s="730"/>
      <c r="M16" s="730"/>
      <c r="N16" s="730"/>
      <c r="O16" s="731"/>
    </row>
    <row r="17" spans="2:15" ht="12.75" customHeight="1"/>
    <row r="18" spans="2:15" ht="14.25" customHeight="1">
      <c r="B18" s="742" t="s">
        <v>161</v>
      </c>
      <c r="C18" s="743"/>
      <c r="D18" s="743"/>
      <c r="E18" s="744"/>
      <c r="F18" s="147"/>
      <c r="G18" s="742" t="s">
        <v>162</v>
      </c>
      <c r="H18" s="743"/>
      <c r="I18" s="743"/>
      <c r="J18" s="744"/>
      <c r="K18" s="147"/>
      <c r="L18" s="742" t="s">
        <v>163</v>
      </c>
      <c r="M18" s="743"/>
      <c r="N18" s="743"/>
      <c r="O18" s="744"/>
    </row>
    <row r="19" spans="2:15" ht="14.25" customHeight="1">
      <c r="B19" s="159"/>
      <c r="C19" s="141"/>
      <c r="D19" s="141"/>
      <c r="E19" s="160"/>
      <c r="F19" s="147"/>
      <c r="G19" s="159"/>
      <c r="H19" s="141"/>
      <c r="I19" s="141"/>
      <c r="J19" s="160"/>
      <c r="K19" s="147"/>
      <c r="L19" s="422"/>
      <c r="M19" s="141"/>
      <c r="N19" s="141"/>
      <c r="O19" s="160"/>
    </row>
    <row r="20" spans="2:15" ht="26.25" customHeight="1">
      <c r="B20" s="735" t="s">
        <v>164</v>
      </c>
      <c r="C20" s="736"/>
      <c r="D20" s="142" t="s">
        <v>165</v>
      </c>
      <c r="E20" s="161" t="s">
        <v>166</v>
      </c>
      <c r="F20" s="147"/>
      <c r="G20" s="735" t="s">
        <v>164</v>
      </c>
      <c r="H20" s="736"/>
      <c r="I20" s="142" t="s">
        <v>165</v>
      </c>
      <c r="J20" s="161" t="s">
        <v>166</v>
      </c>
      <c r="K20" s="147"/>
      <c r="L20" s="735" t="s">
        <v>164</v>
      </c>
      <c r="M20" s="736"/>
      <c r="N20" s="142" t="s">
        <v>165</v>
      </c>
      <c r="O20" s="161" t="s">
        <v>166</v>
      </c>
    </row>
    <row r="21" spans="2:15" ht="14.25" customHeight="1">
      <c r="B21" s="162">
        <v>0</v>
      </c>
      <c r="C21" s="143">
        <v>125000</v>
      </c>
      <c r="D21" s="144">
        <v>0</v>
      </c>
      <c r="E21" s="163">
        <f>C21*D21</f>
        <v>0</v>
      </c>
      <c r="F21" s="147"/>
      <c r="G21" s="162">
        <v>0</v>
      </c>
      <c r="H21" s="151">
        <v>145000</v>
      </c>
      <c r="I21" s="152">
        <v>0</v>
      </c>
      <c r="J21" s="164">
        <f>H21*I21</f>
        <v>0</v>
      </c>
      <c r="K21" s="147"/>
      <c r="L21" s="162">
        <v>0</v>
      </c>
      <c r="M21" s="146">
        <v>180000</v>
      </c>
      <c r="N21" s="153">
        <v>0</v>
      </c>
      <c r="O21" s="160">
        <f>M21*N21</f>
        <v>0</v>
      </c>
    </row>
    <row r="22" spans="2:15" ht="14.25" customHeight="1">
      <c r="B22" s="162"/>
      <c r="C22" s="143"/>
      <c r="D22" s="145"/>
      <c r="E22" s="160"/>
      <c r="F22" s="147"/>
      <c r="G22" s="165"/>
      <c r="H22" s="151"/>
      <c r="I22" s="141"/>
      <c r="J22" s="164"/>
      <c r="K22" s="147"/>
      <c r="L22" s="165"/>
      <c r="M22" s="421"/>
      <c r="N22" s="141"/>
      <c r="O22" s="160"/>
    </row>
    <row r="23" spans="2:15" ht="14.25" customHeight="1">
      <c r="B23" s="162">
        <v>125001</v>
      </c>
      <c r="C23" s="143">
        <v>250000</v>
      </c>
      <c r="D23" s="144">
        <v>0.02</v>
      </c>
      <c r="E23" s="166">
        <f>(C23-C21)*D23</f>
        <v>2500</v>
      </c>
      <c r="F23" s="147"/>
      <c r="G23" s="167">
        <f>H21+1</f>
        <v>145001</v>
      </c>
      <c r="H23" s="151">
        <v>250000</v>
      </c>
      <c r="I23" s="152">
        <v>0.02</v>
      </c>
      <c r="J23" s="164">
        <f>(H23-H21)*I23</f>
        <v>2100</v>
      </c>
      <c r="K23" s="147"/>
      <c r="L23" s="165">
        <f>M21+1</f>
        <v>180001</v>
      </c>
      <c r="M23" s="146">
        <v>250000</v>
      </c>
      <c r="N23" s="153">
        <v>0.06</v>
      </c>
      <c r="O23" s="160">
        <f>(M23-M21)*N23</f>
        <v>4200</v>
      </c>
    </row>
    <row r="24" spans="2:15" ht="14.25" customHeight="1">
      <c r="B24" s="162"/>
      <c r="C24" s="143"/>
      <c r="D24" s="145"/>
      <c r="E24" s="160"/>
      <c r="F24" s="147"/>
      <c r="G24" s="165"/>
      <c r="H24" s="151"/>
      <c r="I24" s="141"/>
      <c r="J24" s="164"/>
      <c r="K24" s="147"/>
      <c r="L24" s="165"/>
      <c r="M24" s="421"/>
      <c r="N24" s="141"/>
      <c r="O24" s="160"/>
    </row>
    <row r="25" spans="2:15" ht="14.25" customHeight="1">
      <c r="B25" s="162">
        <v>250001</v>
      </c>
      <c r="C25" s="143">
        <v>925000</v>
      </c>
      <c r="D25" s="144">
        <v>0.05</v>
      </c>
      <c r="E25" s="166">
        <f>(C25-C23)*D25</f>
        <v>33750</v>
      </c>
      <c r="F25" s="147"/>
      <c r="G25" s="167">
        <f>H23+1</f>
        <v>250001</v>
      </c>
      <c r="H25" s="151">
        <v>325000</v>
      </c>
      <c r="I25" s="152">
        <v>0.05</v>
      </c>
      <c r="J25" s="164">
        <f>(H25-H23)*I25</f>
        <v>3750</v>
      </c>
      <c r="K25" s="147"/>
      <c r="L25" s="165">
        <f>M23+1</f>
        <v>250001</v>
      </c>
      <c r="M25" s="146">
        <v>400000</v>
      </c>
      <c r="N25" s="153">
        <v>7.4999999999999997E-2</v>
      </c>
      <c r="O25" s="160">
        <f>(M25-M23)*N25</f>
        <v>11250</v>
      </c>
    </row>
    <row r="26" spans="2:15" ht="14.25" customHeight="1">
      <c r="B26" s="162"/>
      <c r="C26" s="143"/>
      <c r="D26" s="145"/>
      <c r="E26" s="160"/>
      <c r="F26" s="147"/>
      <c r="G26" s="165"/>
      <c r="H26" s="151"/>
      <c r="I26" s="141"/>
      <c r="J26" s="164"/>
      <c r="K26" s="147"/>
      <c r="L26" s="165"/>
      <c r="M26" s="421"/>
      <c r="N26" s="141"/>
      <c r="O26" s="160"/>
    </row>
    <row r="27" spans="2:15" ht="14.25" customHeight="1">
      <c r="B27" s="165">
        <v>925001</v>
      </c>
      <c r="C27" s="146">
        <v>1500000</v>
      </c>
      <c r="D27" s="144">
        <v>0.1</v>
      </c>
      <c r="E27" s="166">
        <f>(C27-C25)*D27</f>
        <v>57500</v>
      </c>
      <c r="F27" s="147"/>
      <c r="G27" s="167">
        <f>H25+1</f>
        <v>325001</v>
      </c>
      <c r="H27" s="151">
        <v>750000</v>
      </c>
      <c r="I27" s="152">
        <v>0.1</v>
      </c>
      <c r="J27" s="164">
        <f>(H27-H25)*I27</f>
        <v>42500</v>
      </c>
      <c r="K27" s="147"/>
      <c r="L27" s="165">
        <f>M25+1</f>
        <v>400001</v>
      </c>
      <c r="M27" s="146">
        <v>750000</v>
      </c>
      <c r="N27" s="153">
        <v>0.1</v>
      </c>
      <c r="O27" s="160">
        <f>(M27-M25)*N27</f>
        <v>35000</v>
      </c>
    </row>
    <row r="28" spans="2:15" ht="14.25" customHeight="1">
      <c r="B28" s="165"/>
      <c r="C28" s="147"/>
      <c r="D28" s="147"/>
      <c r="E28" s="160"/>
      <c r="F28" s="147"/>
      <c r="G28" s="165"/>
      <c r="H28" s="151"/>
      <c r="I28" s="141"/>
      <c r="J28" s="160"/>
      <c r="K28" s="147"/>
      <c r="L28" s="165"/>
      <c r="M28" s="421"/>
      <c r="N28" s="141"/>
      <c r="O28" s="160"/>
    </row>
    <row r="29" spans="2:15" ht="14.25" customHeight="1">
      <c r="B29" s="168" t="s">
        <v>155</v>
      </c>
      <c r="C29" s="141">
        <v>1500000</v>
      </c>
      <c r="D29" s="144">
        <v>0.12</v>
      </c>
      <c r="E29" s="160"/>
      <c r="F29" s="147"/>
      <c r="G29" s="168" t="s">
        <v>155</v>
      </c>
      <c r="H29" s="154">
        <v>750000</v>
      </c>
      <c r="I29" s="152">
        <v>0.12</v>
      </c>
      <c r="J29" s="160"/>
      <c r="K29" s="147"/>
      <c r="L29" s="165">
        <f>M27+1</f>
        <v>750001</v>
      </c>
      <c r="M29" s="146">
        <v>1500000</v>
      </c>
      <c r="N29" s="153">
        <v>0.12</v>
      </c>
      <c r="O29" s="160">
        <f>(M29-M27)*N29</f>
        <v>90000</v>
      </c>
    </row>
    <row r="30" spans="2:15" ht="14.25" customHeight="1">
      <c r="B30" s="168"/>
      <c r="C30" s="141"/>
      <c r="D30" s="155"/>
      <c r="E30" s="160"/>
      <c r="F30" s="147"/>
      <c r="G30" s="168"/>
      <c r="H30" s="154"/>
      <c r="I30" s="156"/>
      <c r="J30" s="160"/>
      <c r="K30" s="147"/>
      <c r="L30" s="165"/>
      <c r="M30" s="421"/>
      <c r="N30" s="141"/>
      <c r="O30" s="166"/>
    </row>
    <row r="31" spans="2:15" ht="12.75">
      <c r="B31" s="168"/>
      <c r="C31" s="141"/>
      <c r="D31" s="155"/>
      <c r="E31" s="160"/>
      <c r="F31" s="147"/>
      <c r="G31" s="168"/>
      <c r="H31" s="154"/>
      <c r="I31" s="156"/>
      <c r="J31" s="160"/>
      <c r="K31" s="147"/>
      <c r="L31" s="168" t="s">
        <v>155</v>
      </c>
      <c r="M31" s="141">
        <v>1500000</v>
      </c>
      <c r="N31" s="153">
        <v>0.12</v>
      </c>
      <c r="O31" s="160"/>
    </row>
    <row r="32" spans="2:15" ht="12.75">
      <c r="B32" s="168"/>
      <c r="C32" s="141"/>
      <c r="D32" s="148" t="s">
        <v>156</v>
      </c>
      <c r="E32" s="169">
        <f>IF('Start Up Costs'!$D$14&lt;C21,D21*('Start Up Costs'!$D$14),IF('Start Up Costs'!$D$14&lt;C23,D23*('Start Up Costs'!$D$14-C21)+E21,IF('Start Up Costs'!$D$14&lt;C25,D25*('Start Up Costs'!$D$14-C23)+SUM(E21:E23),IF('Start Up Costs'!$D$14&lt;C27,D27*('Start Up Costs'!$D$14-C25)+SUM(E21:E25),D29*('Start Up Costs'!$D$14-C29)+SUM(E21:E27)))))</f>
        <v>5000</v>
      </c>
      <c r="F32" s="147"/>
      <c r="G32" s="165"/>
      <c r="H32" s="147"/>
      <c r="I32" s="148" t="s">
        <v>156</v>
      </c>
      <c r="J32" s="170">
        <f>IF('Start Up Costs'!$D$14&lt;H21,I21*('Start Up Costs'!$D$14),IF('Start Up Costs'!$D$14&lt;H23,I23*('Start Up Costs'!$D$14-H21)+J21,IF('Start Up Costs'!$D$14&lt;H25,I25*('Start Up Costs'!$D$14-H23)+SUM(J21:J23),IF('Start Up Costs'!$D$14&lt;H27,I27*('Start Up Costs'!$D$14-H25)+SUM(J21:J25),I29*('Start Up Costs'!$D$14-H29)+SUM(J21:J27)))))</f>
        <v>4600</v>
      </c>
      <c r="K32" s="147"/>
      <c r="L32" s="165"/>
      <c r="M32" s="421"/>
      <c r="N32" s="148" t="s">
        <v>156</v>
      </c>
      <c r="O32" s="169">
        <f>IF('Start Up Costs'!$D$14&lt;M21,N21*('Start Up Costs'!$D$14),IF('Start Up Costs'!$D$14&lt;M23,N23*('Start Up Costs'!$D$14-M21)+O21,IF('Start Up Costs'!$D$14&lt;M25,N25*('Start Up Costs'!$D$14-M23)+SUM(O21:O23),IF('Start Up Costs'!$D$14&lt;M27,N27*('Start Up Costs'!$D$14-M25)+SUM(O21:O25),IF('Start Up Costs'!$D$14&lt;M29,N29*('Start Up Costs'!$D$14-M27)+SUM(O21:O27),N31*('Start Up Costs'!$D$14-M31)+SUM(O21:O29))))))</f>
        <v>7950</v>
      </c>
    </row>
    <row r="33" spans="2:15" ht="12.75">
      <c r="B33" s="171"/>
      <c r="C33" s="172"/>
      <c r="D33" s="173"/>
      <c r="E33" s="174"/>
      <c r="F33" s="147"/>
      <c r="G33" s="175"/>
      <c r="H33" s="176"/>
      <c r="I33" s="173"/>
      <c r="J33" s="177"/>
      <c r="K33" s="147"/>
      <c r="L33" s="175"/>
      <c r="M33" s="176"/>
      <c r="N33" s="173"/>
      <c r="O33" s="174"/>
    </row>
    <row r="34" spans="2:15" ht="12.75">
      <c r="B34" s="178"/>
      <c r="C34" s="141"/>
      <c r="D34" s="148"/>
      <c r="E34" s="179"/>
      <c r="F34" s="147"/>
      <c r="G34" s="141"/>
      <c r="H34" s="147"/>
      <c r="I34" s="148"/>
      <c r="J34" s="154"/>
      <c r="K34" s="147"/>
      <c r="L34" s="141"/>
      <c r="M34" s="421"/>
      <c r="N34" s="148"/>
      <c r="O34" s="179"/>
    </row>
    <row r="35" spans="2:15" ht="51.75" customHeight="1">
      <c r="B35" s="741" t="s">
        <v>167</v>
      </c>
      <c r="C35" s="736"/>
      <c r="D35" s="736"/>
      <c r="E35" s="731"/>
      <c r="F35" s="147"/>
      <c r="G35" s="741" t="s">
        <v>168</v>
      </c>
      <c r="H35" s="736"/>
      <c r="I35" s="736"/>
      <c r="J35" s="731"/>
      <c r="K35" s="147"/>
      <c r="L35" s="741" t="s">
        <v>170</v>
      </c>
      <c r="M35" s="736"/>
      <c r="N35" s="736"/>
      <c r="O35" s="731"/>
    </row>
    <row r="36" spans="2:15" ht="12.75" customHeight="1">
      <c r="B36" s="180"/>
      <c r="C36" s="147"/>
      <c r="D36" s="147"/>
      <c r="E36" s="135"/>
      <c r="F36" s="147"/>
      <c r="G36" s="180"/>
      <c r="H36" s="147"/>
      <c r="I36" s="147"/>
      <c r="J36" s="135"/>
      <c r="K36" s="147"/>
      <c r="L36" s="420"/>
      <c r="M36" s="421"/>
      <c r="N36" s="421"/>
      <c r="O36" s="419"/>
    </row>
    <row r="37" spans="2:15" ht="42" customHeight="1">
      <c r="B37" s="737" t="s">
        <v>231</v>
      </c>
      <c r="C37" s="731"/>
      <c r="D37" s="731"/>
      <c r="E37" s="731"/>
      <c r="F37" s="147"/>
      <c r="G37" s="737" t="s">
        <v>233</v>
      </c>
      <c r="H37" s="731"/>
      <c r="I37" s="731"/>
      <c r="J37" s="731"/>
      <c r="K37" s="147"/>
      <c r="L37" s="737" t="s">
        <v>169</v>
      </c>
      <c r="M37" s="731"/>
      <c r="N37" s="731"/>
      <c r="O37" s="731"/>
    </row>
    <row r="38" spans="2:15" ht="12.75" customHeight="1">
      <c r="B38" s="147"/>
      <c r="C38" s="149"/>
      <c r="D38" s="150"/>
      <c r="E38" s="147"/>
      <c r="F38" s="147"/>
      <c r="G38" s="147"/>
      <c r="H38" s="147"/>
      <c r="I38" s="147"/>
      <c r="J38" s="147"/>
      <c r="K38" s="147"/>
      <c r="L38" s="421"/>
      <c r="M38" s="421"/>
      <c r="N38" s="421"/>
      <c r="O38" s="421"/>
    </row>
    <row r="39" spans="2:15" ht="12.75" customHeight="1">
      <c r="B39" s="738" t="s">
        <v>232</v>
      </c>
      <c r="C39" s="739"/>
      <c r="D39" s="739"/>
      <c r="E39" s="740"/>
      <c r="F39" s="147"/>
      <c r="G39" s="738" t="s">
        <v>222</v>
      </c>
      <c r="H39" s="739"/>
      <c r="I39" s="739"/>
      <c r="J39" s="740"/>
      <c r="K39" s="147"/>
      <c r="L39" s="742" t="s">
        <v>325</v>
      </c>
      <c r="M39" s="743"/>
      <c r="N39" s="743"/>
      <c r="O39" s="744"/>
    </row>
    <row r="40" spans="2:15" ht="12.75" customHeight="1">
      <c r="B40" s="139"/>
      <c r="C40" s="141"/>
      <c r="D40" s="141"/>
      <c r="E40" s="70"/>
      <c r="F40" s="147"/>
      <c r="G40" s="139"/>
      <c r="H40" s="141"/>
      <c r="I40" s="141"/>
      <c r="J40" s="70"/>
      <c r="K40" s="147"/>
      <c r="L40" s="422"/>
      <c r="M40" s="141"/>
      <c r="N40" s="141"/>
      <c r="O40" s="160"/>
    </row>
    <row r="41" spans="2:15" ht="12.75" customHeight="1">
      <c r="B41" s="139" t="s">
        <v>164</v>
      </c>
      <c r="C41" s="142"/>
      <c r="D41" s="142" t="s">
        <v>165</v>
      </c>
      <c r="E41" s="83" t="s">
        <v>166</v>
      </c>
      <c r="F41" s="147"/>
      <c r="G41" s="139" t="s">
        <v>164</v>
      </c>
      <c r="H41" s="147"/>
      <c r="I41" s="142" t="s">
        <v>165</v>
      </c>
      <c r="J41" s="83" t="s">
        <v>166</v>
      </c>
      <c r="K41" s="147"/>
      <c r="L41" s="735" t="s">
        <v>164</v>
      </c>
      <c r="M41" s="736"/>
      <c r="N41" s="142" t="s">
        <v>165</v>
      </c>
      <c r="O41" s="161" t="s">
        <v>166</v>
      </c>
    </row>
    <row r="42" spans="2:15" ht="12.75" customHeight="1">
      <c r="B42" s="84">
        <v>0</v>
      </c>
      <c r="C42" s="143">
        <v>125000</v>
      </c>
      <c r="D42" s="144">
        <v>0.05</v>
      </c>
      <c r="E42" s="47">
        <f>C42*D42</f>
        <v>6250</v>
      </c>
      <c r="F42" s="147"/>
      <c r="G42" s="84">
        <v>0</v>
      </c>
      <c r="H42" s="151">
        <v>145000</v>
      </c>
      <c r="I42" s="152">
        <v>0.08</v>
      </c>
      <c r="J42" s="75">
        <f>H42*I42</f>
        <v>11600</v>
      </c>
      <c r="K42" s="147"/>
      <c r="L42" s="162">
        <v>0</v>
      </c>
      <c r="M42" s="146">
        <v>180000</v>
      </c>
      <c r="N42" s="153">
        <v>0.05</v>
      </c>
      <c r="O42" s="160">
        <f>M42*N42</f>
        <v>9000</v>
      </c>
    </row>
    <row r="43" spans="2:15" ht="12.75" customHeight="1">
      <c r="B43" s="84"/>
      <c r="C43" s="143"/>
      <c r="D43" s="145"/>
      <c r="E43" s="70"/>
      <c r="F43" s="147"/>
      <c r="G43" s="46"/>
      <c r="H43" s="151"/>
      <c r="I43" s="141"/>
      <c r="J43" s="75"/>
      <c r="K43" s="147"/>
      <c r="L43" s="165"/>
      <c r="M43" s="421"/>
      <c r="N43" s="141"/>
      <c r="O43" s="160"/>
    </row>
    <row r="44" spans="2:15" ht="12.75" customHeight="1">
      <c r="B44" s="84">
        <v>125001</v>
      </c>
      <c r="C44" s="143">
        <v>250000</v>
      </c>
      <c r="D44" s="144">
        <v>0.05</v>
      </c>
      <c r="E44" s="49">
        <f>(C44-C42)*D44</f>
        <v>6250</v>
      </c>
      <c r="F44" s="147"/>
      <c r="G44" s="85">
        <f>H42+1</f>
        <v>145001</v>
      </c>
      <c r="H44" s="151">
        <v>250000</v>
      </c>
      <c r="I44" s="152">
        <v>0.08</v>
      </c>
      <c r="J44" s="75">
        <f>(H44-H42)*I44</f>
        <v>8400</v>
      </c>
      <c r="K44" s="147"/>
      <c r="L44" s="165">
        <f>M42+1</f>
        <v>180001</v>
      </c>
      <c r="M44" s="146">
        <v>250000</v>
      </c>
      <c r="N44" s="153">
        <v>8.5000000000000006E-2</v>
      </c>
      <c r="O44" s="160">
        <f>(M44-M42)*N44</f>
        <v>5950</v>
      </c>
    </row>
    <row r="45" spans="2:15" ht="12.75" customHeight="1">
      <c r="B45" s="84"/>
      <c r="C45" s="143"/>
      <c r="D45" s="145"/>
      <c r="E45" s="70"/>
      <c r="F45" s="147"/>
      <c r="G45" s="46"/>
      <c r="H45" s="151"/>
      <c r="I45" s="141"/>
      <c r="J45" s="75"/>
      <c r="K45" s="147"/>
      <c r="L45" s="165"/>
      <c r="M45" s="421"/>
      <c r="N45" s="141"/>
      <c r="O45" s="160"/>
    </row>
    <row r="46" spans="2:15" ht="12.75" customHeight="1">
      <c r="B46" s="84">
        <v>250001</v>
      </c>
      <c r="C46" s="143">
        <v>925000</v>
      </c>
      <c r="D46" s="144">
        <v>0.05</v>
      </c>
      <c r="E46" s="49">
        <f>(C46-C44)*D46</f>
        <v>33750</v>
      </c>
      <c r="F46" s="147"/>
      <c r="G46" s="85">
        <f>H44+1</f>
        <v>250001</v>
      </c>
      <c r="H46" s="151">
        <v>325000</v>
      </c>
      <c r="I46" s="152">
        <v>0.08</v>
      </c>
      <c r="J46" s="75">
        <f>(H46-H44)*I46</f>
        <v>6000</v>
      </c>
      <c r="K46" s="147"/>
      <c r="L46" s="165">
        <f>M44+1</f>
        <v>250001</v>
      </c>
      <c r="M46" s="146">
        <v>400000</v>
      </c>
      <c r="N46" s="153">
        <v>0.1</v>
      </c>
      <c r="O46" s="160">
        <f>(M46-M44)*N46</f>
        <v>15000</v>
      </c>
    </row>
    <row r="47" spans="2:15" ht="12.75" customHeight="1">
      <c r="B47" s="84"/>
      <c r="C47" s="143"/>
      <c r="D47" s="145"/>
      <c r="E47" s="70"/>
      <c r="F47" s="147"/>
      <c r="G47" s="46"/>
      <c r="H47" s="151"/>
      <c r="I47" s="141"/>
      <c r="J47" s="75"/>
      <c r="K47" s="147"/>
      <c r="L47" s="165"/>
      <c r="M47" s="421"/>
      <c r="N47" s="141"/>
      <c r="O47" s="160"/>
    </row>
    <row r="48" spans="2:15" ht="12.75" customHeight="1">
      <c r="B48" s="46">
        <v>925001</v>
      </c>
      <c r="C48" s="146">
        <v>1500000</v>
      </c>
      <c r="D48" s="144">
        <v>0.05</v>
      </c>
      <c r="E48" s="49">
        <f>(C48-C46)*D48</f>
        <v>28750</v>
      </c>
      <c r="F48" s="147"/>
      <c r="G48" s="85">
        <f>H46+1</f>
        <v>325001</v>
      </c>
      <c r="H48" s="151">
        <v>750000</v>
      </c>
      <c r="I48" s="152">
        <v>0.08</v>
      </c>
      <c r="J48" s="75">
        <f>(H48-H46)*I48</f>
        <v>34000</v>
      </c>
      <c r="K48" s="147"/>
      <c r="L48" s="165">
        <f>M46+1</f>
        <v>400001</v>
      </c>
      <c r="M48" s="146">
        <v>750000</v>
      </c>
      <c r="N48" s="153">
        <v>0.125</v>
      </c>
      <c r="O48" s="160">
        <f>(M48-M46)*N48</f>
        <v>43750</v>
      </c>
    </row>
    <row r="49" spans="2:15" ht="12.75" customHeight="1">
      <c r="B49" s="46"/>
      <c r="C49" s="147"/>
      <c r="D49" s="147"/>
      <c r="E49" s="70"/>
      <c r="F49" s="147"/>
      <c r="G49" s="46"/>
      <c r="H49" s="151"/>
      <c r="I49" s="141"/>
      <c r="J49" s="70"/>
      <c r="K49" s="147"/>
      <c r="L49" s="165"/>
      <c r="M49" s="421"/>
      <c r="N49" s="141"/>
      <c r="O49" s="160"/>
    </row>
    <row r="50" spans="2:15" ht="12.75" customHeight="1">
      <c r="B50" s="86" t="s">
        <v>155</v>
      </c>
      <c r="C50" s="141">
        <v>1500000</v>
      </c>
      <c r="D50" s="144">
        <v>0.05</v>
      </c>
      <c r="E50" s="70"/>
      <c r="F50" s="147"/>
      <c r="G50" s="86" t="s">
        <v>155</v>
      </c>
      <c r="H50" s="154">
        <v>750000</v>
      </c>
      <c r="I50" s="152">
        <v>0.08</v>
      </c>
      <c r="J50" s="70"/>
      <c r="K50" s="147"/>
      <c r="L50" s="165">
        <f>M48+1</f>
        <v>750001</v>
      </c>
      <c r="M50" s="146">
        <v>1500000</v>
      </c>
      <c r="N50" s="153">
        <v>0.15</v>
      </c>
      <c r="O50" s="160">
        <f>(M50-M48)*N50</f>
        <v>112500</v>
      </c>
    </row>
    <row r="51" spans="2:15" ht="12.75" customHeight="1">
      <c r="B51" s="86"/>
      <c r="C51" s="141"/>
      <c r="D51" s="155"/>
      <c r="E51" s="425"/>
      <c r="F51" s="426"/>
      <c r="G51" s="427"/>
      <c r="H51" s="428"/>
      <c r="I51" s="156"/>
      <c r="J51" s="70"/>
      <c r="K51" s="147"/>
      <c r="L51" s="165"/>
      <c r="M51" s="146"/>
      <c r="N51" s="424"/>
      <c r="O51" s="160"/>
    </row>
    <row r="52" spans="2:15" ht="12.75" customHeight="1">
      <c r="B52" s="86"/>
      <c r="C52" s="141"/>
      <c r="D52" s="155"/>
      <c r="E52" s="425"/>
      <c r="F52" s="426"/>
      <c r="G52" s="427"/>
      <c r="H52" s="428"/>
      <c r="I52" s="156"/>
      <c r="J52" s="70"/>
      <c r="K52" s="147"/>
      <c r="L52" s="168" t="s">
        <v>155</v>
      </c>
      <c r="M52" s="141">
        <v>1500000</v>
      </c>
      <c r="N52" s="153">
        <v>0.17</v>
      </c>
      <c r="O52" s="160"/>
    </row>
    <row r="53" spans="2:15" ht="12.75" customHeight="1">
      <c r="B53" s="86"/>
      <c r="C53" s="141"/>
      <c r="D53" s="148" t="s">
        <v>156</v>
      </c>
      <c r="E53" s="81">
        <f>IF('Start Up Costs'!$D$14&lt;C42,D42*('Start Up Costs'!$D$14),IF('Start Up Costs'!$D$14&lt;C44,D44*('Start Up Costs'!$D$14-C42)+E42,IF('Start Up Costs'!$D$14&lt;C46,D46*('Start Up Costs'!$D$14-C44)+SUM(E42:E44),IF('Start Up Costs'!$D$14&lt;C48,D48*('Start Up Costs'!$D$14-C46)+SUM(E42:E46),D50*('Start Up Costs'!$D$14-C50)+SUM(E42:E48)))))</f>
        <v>15000</v>
      </c>
      <c r="F53" s="147"/>
      <c r="G53" s="46"/>
      <c r="H53" s="147"/>
      <c r="I53" s="148" t="s">
        <v>156</v>
      </c>
      <c r="J53" s="87">
        <f>IF('Start Up Costs'!$D$14&lt;H42,I42*('Start Up Costs'!$D$14),IF('Start Up Costs'!$D$14&lt;H44,I44*('Start Up Costs'!$D$14-H42)+J42,IF('Start Up Costs'!$D$14&lt;H46,I46*('Start Up Costs'!$D$14-H44)+SUM(J42:J44),IF('Start Up Costs'!$D$14&lt;H48,I48*('Start Up Costs'!$D$14-H46)+SUM(J42:J46),I50*('Start Up Costs'!$D$14-H50)+SUM(J42:J48)))))</f>
        <v>24000</v>
      </c>
      <c r="K53" s="147"/>
      <c r="L53" s="165"/>
      <c r="M53" s="421"/>
      <c r="N53" s="148" t="s">
        <v>156</v>
      </c>
      <c r="O53" s="169">
        <f>IF('Start Up Costs'!$D$14&lt;M42,N42*('Start Up Costs'!$D$14),IF('Start Up Costs'!$D$14&lt;M44,N44*('Start Up Costs'!$D$14-M42)+O42,IF('Start Up Costs'!$D$14&lt;M46,N46*('Start Up Costs'!$D$14-M44)+SUM(O42:O44),IF('Start Up Costs'!$D$14&lt;M48,N48*('Start Up Costs'!$D$14-M46)+SUM(O42:O46),IF('Start Up Costs'!$D$14&lt;M50,N50*('Start Up Costs'!$D$14-M48)+SUM(O42:O48),N52*('Start Up Costs'!$D$14-M52)+SUM(O42:O50))))))</f>
        <v>19950</v>
      </c>
    </row>
    <row r="54" spans="2:15" ht="12.75" customHeight="1">
      <c r="B54" s="137"/>
      <c r="C54" s="136"/>
      <c r="D54" s="136"/>
      <c r="E54" s="138"/>
      <c r="F54" s="147"/>
      <c r="G54" s="137"/>
      <c r="H54" s="136"/>
      <c r="I54" s="136"/>
      <c r="J54" s="138"/>
      <c r="K54" s="147"/>
      <c r="L54" s="175"/>
      <c r="M54" s="176"/>
      <c r="N54" s="173"/>
      <c r="O54" s="174"/>
    </row>
    <row r="55" spans="2:15" ht="12.75" customHeight="1">
      <c r="B55" s="147"/>
      <c r="C55" s="147"/>
      <c r="D55" s="147"/>
      <c r="E55" s="147"/>
      <c r="F55" s="147"/>
      <c r="G55" s="147"/>
      <c r="H55" s="147"/>
      <c r="I55" s="147"/>
      <c r="J55" s="147"/>
      <c r="K55" s="147"/>
      <c r="L55" s="421"/>
      <c r="M55" s="421"/>
      <c r="N55" s="421"/>
      <c r="O55" s="421"/>
    </row>
    <row r="56" spans="2:15" ht="12.75" customHeight="1">
      <c r="B56" s="147"/>
      <c r="C56" s="147"/>
      <c r="D56" s="157" t="s">
        <v>156</v>
      </c>
      <c r="E56" s="158">
        <f>E32+E53</f>
        <v>20000</v>
      </c>
      <c r="F56" s="147"/>
      <c r="G56" s="147"/>
      <c r="H56" s="147"/>
      <c r="I56" s="157" t="s">
        <v>156</v>
      </c>
      <c r="J56" s="158">
        <f>J32+J53</f>
        <v>28600</v>
      </c>
      <c r="K56" s="147"/>
      <c r="L56" s="421"/>
      <c r="M56" s="421"/>
      <c r="N56" s="157" t="s">
        <v>156</v>
      </c>
      <c r="O56" s="158">
        <f>O32+O53</f>
        <v>27900</v>
      </c>
    </row>
    <row r="57" spans="2:15" ht="12.75" customHeight="1" thickBot="1"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421"/>
      <c r="M57" s="421"/>
      <c r="N57" s="421"/>
      <c r="O57" s="421"/>
    </row>
    <row r="58" spans="2:15" ht="12.75" customHeight="1">
      <c r="B58" s="192" t="s">
        <v>323</v>
      </c>
      <c r="C58" s="193"/>
      <c r="D58" s="193"/>
      <c r="E58" s="259"/>
      <c r="F58" s="147"/>
      <c r="G58" s="192" t="s">
        <v>322</v>
      </c>
      <c r="H58" s="193"/>
      <c r="I58" s="193"/>
      <c r="J58" s="259"/>
      <c r="K58" s="147"/>
      <c r="L58" s="192" t="s">
        <v>324</v>
      </c>
      <c r="M58" s="193"/>
      <c r="N58" s="193"/>
      <c r="O58" s="259"/>
    </row>
    <row r="59" spans="2:15" ht="12.75" customHeight="1">
      <c r="B59" s="280" t="s">
        <v>244</v>
      </c>
      <c r="C59" s="204" t="s">
        <v>245</v>
      </c>
      <c r="D59" s="205" t="s">
        <v>241</v>
      </c>
      <c r="E59" s="281" t="s">
        <v>242</v>
      </c>
      <c r="F59" s="147"/>
      <c r="G59" s="280" t="s">
        <v>244</v>
      </c>
      <c r="H59" s="204" t="s">
        <v>245</v>
      </c>
      <c r="I59" s="205" t="s">
        <v>241</v>
      </c>
      <c r="J59" s="281" t="s">
        <v>242</v>
      </c>
      <c r="L59" s="280" t="s">
        <v>244</v>
      </c>
      <c r="M59" s="204" t="s">
        <v>245</v>
      </c>
      <c r="N59" s="205" t="s">
        <v>241</v>
      </c>
      <c r="O59" s="281" t="s">
        <v>242</v>
      </c>
    </row>
    <row r="60" spans="2:15" ht="12.75" customHeight="1">
      <c r="B60" s="416">
        <v>100000</v>
      </c>
      <c r="C60" s="215">
        <f>IF('Start Up Costs'!$D$14&lt;B60,'Start Up Costs'!$D$14,B60)</f>
        <v>100000</v>
      </c>
      <c r="D60" s="417">
        <v>0.01</v>
      </c>
      <c r="E60" s="237">
        <f>D60*C60</f>
        <v>1000</v>
      </c>
      <c r="F60" s="147"/>
      <c r="G60" s="416">
        <v>100000</v>
      </c>
      <c r="H60" s="215">
        <f>IF('Start Up Costs'!$D$14&lt;G60,'Start Up Costs'!$D$14,G60)</f>
        <v>100000</v>
      </c>
      <c r="I60" s="417">
        <v>0.01</v>
      </c>
      <c r="J60" s="237">
        <f>I60*H60</f>
        <v>1000</v>
      </c>
      <c r="L60" s="416">
        <v>100000</v>
      </c>
      <c r="M60" s="215">
        <f>IF('Start Up Costs'!$D$14&lt;L60,'Start Up Costs'!$D$14,L60)</f>
        <v>100000</v>
      </c>
      <c r="N60" s="417">
        <v>0.01</v>
      </c>
      <c r="O60" s="237">
        <f>N60*M60</f>
        <v>1000</v>
      </c>
    </row>
    <row r="61" spans="2:15" ht="12.75" customHeight="1">
      <c r="B61" s="242" t="s">
        <v>264</v>
      </c>
      <c r="C61" s="215">
        <f>IF('Start Up Costs'!$D$14&lt;B60,0,'Start Up Costs'!$D$14-B60)</f>
        <v>200000</v>
      </c>
      <c r="D61" s="417">
        <v>0.01</v>
      </c>
      <c r="E61" s="237">
        <f>D61*C61</f>
        <v>2000</v>
      </c>
      <c r="G61" s="242" t="s">
        <v>264</v>
      </c>
      <c r="H61" s="215">
        <f>IF('Start Up Costs'!$D$14&lt;G60,0,'Start Up Costs'!$D$14-G60)</f>
        <v>200000</v>
      </c>
      <c r="I61" s="417">
        <v>0.01</v>
      </c>
      <c r="J61" s="237">
        <f>I61*H61</f>
        <v>2000</v>
      </c>
      <c r="L61" s="242" t="s">
        <v>264</v>
      </c>
      <c r="M61" s="215">
        <f>IF('Start Up Costs'!$D$14&lt;L60,0,'Start Up Costs'!$D$14-L60)</f>
        <v>200000</v>
      </c>
      <c r="N61" s="417">
        <v>0.01</v>
      </c>
      <c r="O61" s="237">
        <f>N61*M61</f>
        <v>2000</v>
      </c>
    </row>
    <row r="62" spans="2:15" ht="12.75" customHeight="1" thickBot="1">
      <c r="B62" s="249"/>
      <c r="C62" s="250">
        <f>SUM(C60:C61)</f>
        <v>300000</v>
      </c>
      <c r="D62" s="251" t="s">
        <v>268</v>
      </c>
      <c r="E62" s="252">
        <f>SUM(E60:E61)</f>
        <v>3000</v>
      </c>
      <c r="G62" s="249"/>
      <c r="H62" s="250">
        <f>SUM(H60:H61)</f>
        <v>300000</v>
      </c>
      <c r="I62" s="251" t="s">
        <v>268</v>
      </c>
      <c r="J62" s="252">
        <f>SUM(J60:J61)</f>
        <v>3000</v>
      </c>
      <c r="L62" s="249"/>
      <c r="M62" s="250">
        <f>SUM(M60:M61)</f>
        <v>300000</v>
      </c>
      <c r="N62" s="251" t="s">
        <v>268</v>
      </c>
      <c r="O62" s="252">
        <f>SUM(O60:O61)</f>
        <v>3000</v>
      </c>
    </row>
    <row r="63" spans="2:15" ht="12.75" customHeight="1">
      <c r="B63" s="292" t="s">
        <v>283</v>
      </c>
      <c r="C63" s="146"/>
      <c r="D63" s="146"/>
      <c r="E63" s="146"/>
      <c r="G63" s="292" t="s">
        <v>283</v>
      </c>
      <c r="H63" s="146"/>
      <c r="I63" s="146"/>
      <c r="J63" s="146"/>
      <c r="L63" s="292" t="s">
        <v>283</v>
      </c>
      <c r="M63" s="146"/>
      <c r="N63" s="146"/>
      <c r="O63" s="146"/>
    </row>
    <row r="64" spans="2:15" ht="12.75" customHeight="1">
      <c r="B64" s="133"/>
      <c r="C64" s="133"/>
      <c r="D64" s="133"/>
      <c r="E64" s="133"/>
      <c r="L64" s="421"/>
      <c r="M64" s="421"/>
      <c r="N64" s="421"/>
      <c r="O64" s="421"/>
    </row>
    <row r="65" spans="2:15" ht="12.75" customHeight="1">
      <c r="B65" s="133"/>
      <c r="C65" s="133"/>
      <c r="D65" s="133"/>
      <c r="E65" s="133"/>
      <c r="L65" s="421"/>
      <c r="M65" s="421"/>
      <c r="N65" s="421"/>
      <c r="O65" s="421"/>
    </row>
    <row r="66" spans="2:15" ht="12.75" customHeight="1">
      <c r="B66" s="133"/>
      <c r="C66" s="133"/>
      <c r="D66" s="133"/>
      <c r="E66" s="133"/>
      <c r="L66" s="421"/>
      <c r="M66" s="421"/>
      <c r="N66" s="421"/>
      <c r="O66" s="421"/>
    </row>
    <row r="67" spans="2:15" ht="12.75" customHeight="1">
      <c r="L67" s="421"/>
      <c r="M67" s="421"/>
      <c r="N67" s="421"/>
      <c r="O67" s="421"/>
    </row>
    <row r="68" spans="2:15" ht="12.75" customHeight="1">
      <c r="L68" s="421"/>
      <c r="M68" s="421"/>
      <c r="N68" s="421"/>
      <c r="O68" s="421"/>
    </row>
    <row r="69" spans="2:15" ht="12.75" customHeight="1"/>
    <row r="70" spans="2:15" ht="12.75" customHeight="1"/>
    <row r="71" spans="2:15" ht="12.75" customHeight="1"/>
    <row r="72" spans="2:15" ht="12.75" customHeight="1"/>
    <row r="73" spans="2:15" ht="12.75" customHeight="1"/>
    <row r="74" spans="2:15" ht="12.75" customHeight="1"/>
    <row r="75" spans="2:15" ht="12.75" customHeight="1"/>
    <row r="76" spans="2:15" ht="12.75" customHeight="1"/>
    <row r="77" spans="2:15" ht="12.75" customHeight="1"/>
    <row r="78" spans="2:15" ht="12.75" customHeight="1"/>
    <row r="79" spans="2:15" ht="12.75" customHeight="1"/>
    <row r="80" spans="2:15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7">
    <mergeCell ref="B12:E12"/>
    <mergeCell ref="G12:J12"/>
    <mergeCell ref="L14:O14"/>
    <mergeCell ref="B16:O16"/>
    <mergeCell ref="B18:E18"/>
    <mergeCell ref="G18:J18"/>
    <mergeCell ref="L18:O18"/>
    <mergeCell ref="B1:O1"/>
    <mergeCell ref="B3:E3"/>
    <mergeCell ref="G3:J3"/>
    <mergeCell ref="L3:O3"/>
    <mergeCell ref="B5:C5"/>
    <mergeCell ref="G5:H5"/>
    <mergeCell ref="L5:M5"/>
    <mergeCell ref="B35:E35"/>
    <mergeCell ref="G37:J37"/>
    <mergeCell ref="L39:O39"/>
    <mergeCell ref="B20:C20"/>
    <mergeCell ref="G20:H20"/>
    <mergeCell ref="L20:M20"/>
    <mergeCell ref="G35:J35"/>
    <mergeCell ref="L35:O35"/>
    <mergeCell ref="L41:M41"/>
    <mergeCell ref="L37:O37"/>
    <mergeCell ref="B39:E39"/>
    <mergeCell ref="G39:J39"/>
    <mergeCell ref="B37:E37"/>
  </mergeCells>
  <hyperlinks>
    <hyperlink ref="B12" r:id="rId1"/>
    <hyperlink ref="G12" r:id="rId2"/>
    <hyperlink ref="L14" r:id="rId3"/>
    <hyperlink ref="G35" r:id="rId4"/>
    <hyperlink ref="B35" r:id="rId5"/>
    <hyperlink ref="G63" r:id="rId6"/>
    <hyperlink ref="B63" r:id="rId7"/>
    <hyperlink ref="L35" r:id="rId8"/>
    <hyperlink ref="L63" r:id="rId9"/>
  </hyperlinks>
  <pageMargins left="0.7" right="0.7" top="0.75" bottom="0.75" header="0" footer="0"/>
  <pageSetup orientation="landscape" r:id="rId10"/>
  <headerFooter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B1:BK1000"/>
  <sheetViews>
    <sheetView workbookViewId="0">
      <selection activeCell="M9" sqref="M9"/>
    </sheetView>
  </sheetViews>
  <sheetFormatPr defaultColWidth="12.7109375" defaultRowHeight="15.75" customHeight="1"/>
  <cols>
    <col min="1" max="1" width="2.28515625" customWidth="1"/>
    <col min="2" max="2" width="10.140625" customWidth="1"/>
    <col min="3" max="3" width="12.85546875" customWidth="1"/>
    <col min="4" max="4" width="14" customWidth="1"/>
    <col min="5" max="63" width="10.140625" customWidth="1"/>
  </cols>
  <sheetData>
    <row r="1" spans="2:43" ht="12.75" customHeight="1"/>
    <row r="2" spans="2:43" ht="17.25" customHeight="1">
      <c r="B2" s="754" t="s">
        <v>122</v>
      </c>
      <c r="C2" s="727"/>
      <c r="D2" s="727"/>
      <c r="E2" s="727"/>
      <c r="F2" s="728"/>
    </row>
    <row r="3" spans="2:43" ht="24" customHeight="1">
      <c r="B3" s="96" t="s">
        <v>180</v>
      </c>
      <c r="C3" s="97">
        <f>'Start Up Costs'!D14*'General Dashboard'!G3</f>
        <v>0</v>
      </c>
      <c r="D3" s="98" t="s">
        <v>181</v>
      </c>
      <c r="E3" s="99">
        <v>7.4999999999999997E-3</v>
      </c>
      <c r="F3" s="100">
        <f>C3*E3</f>
        <v>0</v>
      </c>
    </row>
    <row r="4" spans="2:43" ht="12.75" customHeight="1">
      <c r="B4" s="96" t="s">
        <v>182</v>
      </c>
      <c r="C4" s="99">
        <v>3.7499999999999999E-2</v>
      </c>
      <c r="D4" s="755" t="s">
        <v>183</v>
      </c>
      <c r="E4" s="731"/>
      <c r="F4" s="101">
        <f>C3-F3</f>
        <v>0</v>
      </c>
    </row>
    <row r="5" spans="2:43" ht="12.75" customHeight="1">
      <c r="B5" s="96" t="s">
        <v>184</v>
      </c>
      <c r="C5" s="102">
        <v>40</v>
      </c>
      <c r="D5" s="98" t="s">
        <v>185</v>
      </c>
      <c r="E5" s="102" t="s">
        <v>186</v>
      </c>
      <c r="F5" s="103"/>
    </row>
    <row r="6" spans="2:43" ht="24" customHeight="1">
      <c r="B6" s="104" t="s">
        <v>187</v>
      </c>
      <c r="C6" s="105">
        <v>0.03</v>
      </c>
      <c r="D6" s="106" t="s">
        <v>188</v>
      </c>
      <c r="E6" s="107">
        <v>10</v>
      </c>
      <c r="F6" s="108" t="s">
        <v>189</v>
      </c>
    </row>
    <row r="7" spans="2:43" ht="12.75" customHeight="1"/>
    <row r="8" spans="2:43" ht="12.75" customHeight="1"/>
    <row r="9" spans="2:43" ht="12.75" customHeight="1">
      <c r="C9" s="91"/>
      <c r="D9" s="109">
        <v>1</v>
      </c>
      <c r="E9" s="109">
        <v>2</v>
      </c>
      <c r="F9" s="109">
        <v>3</v>
      </c>
      <c r="G9" s="109">
        <v>4</v>
      </c>
      <c r="H9" s="109">
        <v>5</v>
      </c>
      <c r="I9" s="109">
        <v>6</v>
      </c>
      <c r="J9" s="109">
        <v>7</v>
      </c>
      <c r="K9" s="109">
        <v>8</v>
      </c>
      <c r="L9" s="109">
        <v>9</v>
      </c>
      <c r="M9" s="109">
        <v>10</v>
      </c>
      <c r="N9" s="109">
        <v>11</v>
      </c>
      <c r="O9" s="109">
        <v>12</v>
      </c>
      <c r="P9" s="109">
        <v>13</v>
      </c>
      <c r="Q9" s="109">
        <v>14</v>
      </c>
      <c r="R9" s="109">
        <v>15</v>
      </c>
      <c r="S9" s="109">
        <v>16</v>
      </c>
      <c r="T9" s="109">
        <v>17</v>
      </c>
      <c r="U9" s="109">
        <v>18</v>
      </c>
      <c r="V9" s="109">
        <v>19</v>
      </c>
      <c r="W9" s="109">
        <v>20</v>
      </c>
      <c r="X9" s="109">
        <v>21</v>
      </c>
      <c r="Y9" s="109">
        <v>22</v>
      </c>
      <c r="Z9" s="109">
        <v>23</v>
      </c>
      <c r="AA9" s="109">
        <v>24</v>
      </c>
      <c r="AB9" s="109">
        <v>25</v>
      </c>
      <c r="AC9" s="109">
        <v>26</v>
      </c>
      <c r="AD9" s="109">
        <v>27</v>
      </c>
      <c r="AE9" s="109">
        <v>28</v>
      </c>
      <c r="AF9" s="109">
        <v>29</v>
      </c>
      <c r="AG9" s="109">
        <v>30</v>
      </c>
      <c r="AH9" s="109">
        <v>31</v>
      </c>
      <c r="AI9" s="109">
        <v>32</v>
      </c>
      <c r="AJ9" s="109">
        <v>33</v>
      </c>
      <c r="AK9" s="109">
        <v>34</v>
      </c>
      <c r="AL9" s="109">
        <v>35</v>
      </c>
      <c r="AM9" s="109">
        <v>36</v>
      </c>
      <c r="AN9" s="109">
        <v>37</v>
      </c>
      <c r="AO9" s="109">
        <v>38</v>
      </c>
      <c r="AP9" s="109">
        <v>39</v>
      </c>
      <c r="AQ9" s="110">
        <v>40</v>
      </c>
    </row>
    <row r="10" spans="2:43" ht="12.75" customHeight="1">
      <c r="C10" s="23" t="s">
        <v>182</v>
      </c>
      <c r="D10" s="111">
        <f>C4</f>
        <v>3.7499999999999999E-2</v>
      </c>
      <c r="E10" s="111">
        <f t="shared" ref="E10:AQ10" si="0">IF(E9&lt;=$E$6+1,D10+($C$6/$E$6),D10)</f>
        <v>4.0500000000000001E-2</v>
      </c>
      <c r="F10" s="111">
        <f t="shared" si="0"/>
        <v>4.3500000000000004E-2</v>
      </c>
      <c r="G10" s="111">
        <f t="shared" si="0"/>
        <v>4.6500000000000007E-2</v>
      </c>
      <c r="H10" s="111">
        <f t="shared" si="0"/>
        <v>4.9500000000000009E-2</v>
      </c>
      <c r="I10" s="111">
        <f t="shared" si="0"/>
        <v>5.2500000000000012E-2</v>
      </c>
      <c r="J10" s="111">
        <f t="shared" si="0"/>
        <v>5.5500000000000015E-2</v>
      </c>
      <c r="K10" s="111">
        <f t="shared" si="0"/>
        <v>5.8500000000000017E-2</v>
      </c>
      <c r="L10" s="111">
        <f t="shared" si="0"/>
        <v>6.150000000000002E-2</v>
      </c>
      <c r="M10" s="111">
        <f t="shared" si="0"/>
        <v>6.4500000000000016E-2</v>
      </c>
      <c r="N10" s="111">
        <f t="shared" si="0"/>
        <v>6.7500000000000018E-2</v>
      </c>
      <c r="O10" s="111">
        <f t="shared" si="0"/>
        <v>6.7500000000000018E-2</v>
      </c>
      <c r="P10" s="111">
        <f t="shared" si="0"/>
        <v>6.7500000000000018E-2</v>
      </c>
      <c r="Q10" s="111">
        <f t="shared" si="0"/>
        <v>6.7500000000000018E-2</v>
      </c>
      <c r="R10" s="111">
        <f t="shared" si="0"/>
        <v>6.7500000000000018E-2</v>
      </c>
      <c r="S10" s="111">
        <f t="shared" si="0"/>
        <v>6.7500000000000018E-2</v>
      </c>
      <c r="T10" s="111">
        <f t="shared" si="0"/>
        <v>6.7500000000000018E-2</v>
      </c>
      <c r="U10" s="111">
        <f t="shared" si="0"/>
        <v>6.7500000000000018E-2</v>
      </c>
      <c r="V10" s="111">
        <f t="shared" si="0"/>
        <v>6.7500000000000018E-2</v>
      </c>
      <c r="W10" s="111">
        <f t="shared" si="0"/>
        <v>6.7500000000000018E-2</v>
      </c>
      <c r="X10" s="111">
        <f t="shared" si="0"/>
        <v>6.7500000000000018E-2</v>
      </c>
      <c r="Y10" s="111">
        <f t="shared" si="0"/>
        <v>6.7500000000000018E-2</v>
      </c>
      <c r="Z10" s="111">
        <f t="shared" si="0"/>
        <v>6.7500000000000018E-2</v>
      </c>
      <c r="AA10" s="111">
        <f t="shared" si="0"/>
        <v>6.7500000000000018E-2</v>
      </c>
      <c r="AB10" s="111">
        <f t="shared" si="0"/>
        <v>6.7500000000000018E-2</v>
      </c>
      <c r="AC10" s="111">
        <f t="shared" si="0"/>
        <v>6.7500000000000018E-2</v>
      </c>
      <c r="AD10" s="111">
        <f t="shared" si="0"/>
        <v>6.7500000000000018E-2</v>
      </c>
      <c r="AE10" s="111">
        <f t="shared" si="0"/>
        <v>6.7500000000000018E-2</v>
      </c>
      <c r="AF10" s="111">
        <f t="shared" si="0"/>
        <v>6.7500000000000018E-2</v>
      </c>
      <c r="AG10" s="111">
        <f t="shared" si="0"/>
        <v>6.7500000000000018E-2</v>
      </c>
      <c r="AH10" s="111">
        <f t="shared" si="0"/>
        <v>6.7500000000000018E-2</v>
      </c>
      <c r="AI10" s="111">
        <f t="shared" si="0"/>
        <v>6.7500000000000018E-2</v>
      </c>
      <c r="AJ10" s="111">
        <f t="shared" si="0"/>
        <v>6.7500000000000018E-2</v>
      </c>
      <c r="AK10" s="111">
        <f t="shared" si="0"/>
        <v>6.7500000000000018E-2</v>
      </c>
      <c r="AL10" s="111">
        <f t="shared" si="0"/>
        <v>6.7500000000000018E-2</v>
      </c>
      <c r="AM10" s="111">
        <f t="shared" si="0"/>
        <v>6.7500000000000018E-2</v>
      </c>
      <c r="AN10" s="111">
        <f t="shared" si="0"/>
        <v>6.7500000000000018E-2</v>
      </c>
      <c r="AO10" s="111">
        <f t="shared" si="0"/>
        <v>6.7500000000000018E-2</v>
      </c>
      <c r="AP10" s="111">
        <f t="shared" si="0"/>
        <v>6.7500000000000018E-2</v>
      </c>
      <c r="AQ10" s="112">
        <f t="shared" si="0"/>
        <v>6.7500000000000018E-2</v>
      </c>
    </row>
    <row r="11" spans="2:43" ht="12.75" customHeight="1">
      <c r="C11" s="23" t="s">
        <v>190</v>
      </c>
      <c r="D11" s="61">
        <f>IF(D9&lt;=$C$5,IF(E5="No",-PMT(D10/12,$C$5*12,$C$3),$C$3*D10/12),0)</f>
        <v>0</v>
      </c>
      <c r="E11" s="61">
        <f t="shared" ref="E11:AQ11" si="1">IF(E9&lt;=$C$5,IF($E$5="No",-PMT(E10/12,($C$5-D$9)*12,D$63),$C$3*E10/12),0)</f>
        <v>0</v>
      </c>
      <c r="F11" s="61">
        <f t="shared" si="1"/>
        <v>0</v>
      </c>
      <c r="G11" s="61">
        <f t="shared" si="1"/>
        <v>0</v>
      </c>
      <c r="H11" s="61">
        <f t="shared" si="1"/>
        <v>0</v>
      </c>
      <c r="I11" s="61">
        <f t="shared" si="1"/>
        <v>0</v>
      </c>
      <c r="J11" s="61">
        <f t="shared" si="1"/>
        <v>0</v>
      </c>
      <c r="K11" s="61">
        <f t="shared" si="1"/>
        <v>0</v>
      </c>
      <c r="L11" s="61">
        <f t="shared" si="1"/>
        <v>0</v>
      </c>
      <c r="M11" s="61">
        <f t="shared" si="1"/>
        <v>0</v>
      </c>
      <c r="N11" s="61">
        <f t="shared" si="1"/>
        <v>0</v>
      </c>
      <c r="O11" s="61">
        <f t="shared" si="1"/>
        <v>0</v>
      </c>
      <c r="P11" s="61">
        <f t="shared" si="1"/>
        <v>0</v>
      </c>
      <c r="Q11" s="61">
        <f t="shared" si="1"/>
        <v>0</v>
      </c>
      <c r="R11" s="61">
        <f t="shared" si="1"/>
        <v>0</v>
      </c>
      <c r="S11" s="61">
        <f t="shared" si="1"/>
        <v>0</v>
      </c>
      <c r="T11" s="61">
        <f t="shared" si="1"/>
        <v>0</v>
      </c>
      <c r="U11" s="61">
        <f t="shared" si="1"/>
        <v>0</v>
      </c>
      <c r="V11" s="61">
        <f t="shared" si="1"/>
        <v>0</v>
      </c>
      <c r="W11" s="61">
        <f t="shared" si="1"/>
        <v>0</v>
      </c>
      <c r="X11" s="61">
        <f t="shared" si="1"/>
        <v>0</v>
      </c>
      <c r="Y11" s="61">
        <f t="shared" si="1"/>
        <v>0</v>
      </c>
      <c r="Z11" s="61">
        <f t="shared" si="1"/>
        <v>0</v>
      </c>
      <c r="AA11" s="61">
        <f t="shared" si="1"/>
        <v>0</v>
      </c>
      <c r="AB11" s="61">
        <f t="shared" si="1"/>
        <v>0</v>
      </c>
      <c r="AC11" s="61">
        <f t="shared" si="1"/>
        <v>0</v>
      </c>
      <c r="AD11" s="61">
        <f t="shared" si="1"/>
        <v>0</v>
      </c>
      <c r="AE11" s="61">
        <f t="shared" si="1"/>
        <v>0</v>
      </c>
      <c r="AF11" s="61">
        <f t="shared" si="1"/>
        <v>0</v>
      </c>
      <c r="AG11" s="61">
        <f t="shared" si="1"/>
        <v>0</v>
      </c>
      <c r="AH11" s="61">
        <f t="shared" si="1"/>
        <v>0</v>
      </c>
      <c r="AI11" s="61">
        <f t="shared" si="1"/>
        <v>0</v>
      </c>
      <c r="AJ11" s="61">
        <f t="shared" si="1"/>
        <v>0</v>
      </c>
      <c r="AK11" s="61">
        <f t="shared" si="1"/>
        <v>0</v>
      </c>
      <c r="AL11" s="61">
        <f t="shared" si="1"/>
        <v>0</v>
      </c>
      <c r="AM11" s="61">
        <f t="shared" si="1"/>
        <v>0</v>
      </c>
      <c r="AN11" s="61">
        <f t="shared" si="1"/>
        <v>0</v>
      </c>
      <c r="AO11" s="61">
        <f t="shared" si="1"/>
        <v>0</v>
      </c>
      <c r="AP11" s="61">
        <f t="shared" si="1"/>
        <v>0</v>
      </c>
      <c r="AQ11" s="37">
        <f t="shared" si="1"/>
        <v>0</v>
      </c>
    </row>
    <row r="12" spans="2:43" ht="12.75" customHeight="1"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9"/>
    </row>
    <row r="13" spans="2:43" ht="12.75" customHeight="1">
      <c r="C13" s="23" t="s">
        <v>191</v>
      </c>
      <c r="D13" s="113">
        <f t="shared" ref="D13:AQ13" si="2">D63</f>
        <v>0</v>
      </c>
      <c r="E13" s="113">
        <f t="shared" si="2"/>
        <v>0</v>
      </c>
      <c r="F13" s="113">
        <f t="shared" si="2"/>
        <v>0</v>
      </c>
      <c r="G13" s="113">
        <f t="shared" si="2"/>
        <v>0</v>
      </c>
      <c r="H13" s="113">
        <f t="shared" si="2"/>
        <v>0</v>
      </c>
      <c r="I13" s="113">
        <f t="shared" si="2"/>
        <v>0</v>
      </c>
      <c r="J13" s="113">
        <f t="shared" si="2"/>
        <v>0</v>
      </c>
      <c r="K13" s="113">
        <f t="shared" si="2"/>
        <v>0</v>
      </c>
      <c r="L13" s="113">
        <f t="shared" si="2"/>
        <v>0</v>
      </c>
      <c r="M13" s="113">
        <f t="shared" si="2"/>
        <v>0</v>
      </c>
      <c r="N13" s="113">
        <f t="shared" si="2"/>
        <v>0</v>
      </c>
      <c r="O13" s="113">
        <f t="shared" si="2"/>
        <v>0</v>
      </c>
      <c r="P13" s="113">
        <f t="shared" si="2"/>
        <v>0</v>
      </c>
      <c r="Q13" s="113">
        <f t="shared" si="2"/>
        <v>0</v>
      </c>
      <c r="R13" s="113">
        <f t="shared" si="2"/>
        <v>0</v>
      </c>
      <c r="S13" s="113">
        <f t="shared" si="2"/>
        <v>0</v>
      </c>
      <c r="T13" s="113">
        <f t="shared" si="2"/>
        <v>0</v>
      </c>
      <c r="U13" s="113">
        <f t="shared" si="2"/>
        <v>0</v>
      </c>
      <c r="V13" s="113">
        <f t="shared" si="2"/>
        <v>0</v>
      </c>
      <c r="W13" s="113">
        <f t="shared" si="2"/>
        <v>0</v>
      </c>
      <c r="X13" s="113">
        <f t="shared" si="2"/>
        <v>0</v>
      </c>
      <c r="Y13" s="113">
        <f t="shared" si="2"/>
        <v>0</v>
      </c>
      <c r="Z13" s="113">
        <f t="shared" si="2"/>
        <v>0</v>
      </c>
      <c r="AA13" s="113">
        <f t="shared" si="2"/>
        <v>0</v>
      </c>
      <c r="AB13" s="113">
        <f t="shared" si="2"/>
        <v>0</v>
      </c>
      <c r="AC13" s="113">
        <f t="shared" si="2"/>
        <v>0</v>
      </c>
      <c r="AD13" s="113">
        <f t="shared" si="2"/>
        <v>0</v>
      </c>
      <c r="AE13" s="113">
        <f t="shared" si="2"/>
        <v>0</v>
      </c>
      <c r="AF13" s="113">
        <f t="shared" si="2"/>
        <v>0</v>
      </c>
      <c r="AG13" s="113">
        <f t="shared" si="2"/>
        <v>0</v>
      </c>
      <c r="AH13" s="113">
        <f t="shared" si="2"/>
        <v>0</v>
      </c>
      <c r="AI13" s="113">
        <f t="shared" si="2"/>
        <v>0</v>
      </c>
      <c r="AJ13" s="113">
        <f t="shared" si="2"/>
        <v>0</v>
      </c>
      <c r="AK13" s="113">
        <f t="shared" si="2"/>
        <v>0</v>
      </c>
      <c r="AL13" s="113">
        <f t="shared" si="2"/>
        <v>0</v>
      </c>
      <c r="AM13" s="113">
        <f t="shared" si="2"/>
        <v>0</v>
      </c>
      <c r="AN13" s="113">
        <f t="shared" si="2"/>
        <v>0</v>
      </c>
      <c r="AO13" s="113">
        <f t="shared" si="2"/>
        <v>0</v>
      </c>
      <c r="AP13" s="113">
        <f t="shared" si="2"/>
        <v>0</v>
      </c>
      <c r="AQ13" s="114">
        <f t="shared" si="2"/>
        <v>0</v>
      </c>
    </row>
    <row r="14" spans="2:43" ht="12.75" customHeight="1">
      <c r="C14" s="23" t="s">
        <v>192</v>
      </c>
      <c r="D14" s="113">
        <f t="shared" ref="D14:AQ14" si="3">D17+D21+D25+D29+D33+D37+D41+D45+D49+D53+D57+D61</f>
        <v>0</v>
      </c>
      <c r="E14" s="113">
        <f t="shared" si="3"/>
        <v>0</v>
      </c>
      <c r="F14" s="113">
        <f t="shared" si="3"/>
        <v>0</v>
      </c>
      <c r="G14" s="113">
        <f t="shared" si="3"/>
        <v>0</v>
      </c>
      <c r="H14" s="113">
        <f t="shared" si="3"/>
        <v>0</v>
      </c>
      <c r="I14" s="113">
        <f t="shared" si="3"/>
        <v>0</v>
      </c>
      <c r="J14" s="113">
        <f t="shared" si="3"/>
        <v>0</v>
      </c>
      <c r="K14" s="113">
        <f t="shared" si="3"/>
        <v>0</v>
      </c>
      <c r="L14" s="113">
        <f t="shared" si="3"/>
        <v>0</v>
      </c>
      <c r="M14" s="113">
        <f t="shared" si="3"/>
        <v>0</v>
      </c>
      <c r="N14" s="113">
        <f t="shared" si="3"/>
        <v>0</v>
      </c>
      <c r="O14" s="113">
        <f t="shared" si="3"/>
        <v>0</v>
      </c>
      <c r="P14" s="113">
        <f t="shared" si="3"/>
        <v>0</v>
      </c>
      <c r="Q14" s="113">
        <f t="shared" si="3"/>
        <v>0</v>
      </c>
      <c r="R14" s="113">
        <f t="shared" si="3"/>
        <v>0</v>
      </c>
      <c r="S14" s="113">
        <f t="shared" si="3"/>
        <v>0</v>
      </c>
      <c r="T14" s="113">
        <f t="shared" si="3"/>
        <v>0</v>
      </c>
      <c r="U14" s="113">
        <f t="shared" si="3"/>
        <v>0</v>
      </c>
      <c r="V14" s="113">
        <f t="shared" si="3"/>
        <v>0</v>
      </c>
      <c r="W14" s="113">
        <f t="shared" si="3"/>
        <v>0</v>
      </c>
      <c r="X14" s="113">
        <f t="shared" si="3"/>
        <v>0</v>
      </c>
      <c r="Y14" s="113">
        <f t="shared" si="3"/>
        <v>0</v>
      </c>
      <c r="Z14" s="113">
        <f t="shared" si="3"/>
        <v>0</v>
      </c>
      <c r="AA14" s="113">
        <f t="shared" si="3"/>
        <v>0</v>
      </c>
      <c r="AB14" s="113">
        <f t="shared" si="3"/>
        <v>0</v>
      </c>
      <c r="AC14" s="113">
        <f t="shared" si="3"/>
        <v>0</v>
      </c>
      <c r="AD14" s="113">
        <f t="shared" si="3"/>
        <v>0</v>
      </c>
      <c r="AE14" s="113">
        <f t="shared" si="3"/>
        <v>0</v>
      </c>
      <c r="AF14" s="113">
        <f t="shared" si="3"/>
        <v>0</v>
      </c>
      <c r="AG14" s="113">
        <f t="shared" si="3"/>
        <v>0</v>
      </c>
      <c r="AH14" s="113">
        <f t="shared" si="3"/>
        <v>0</v>
      </c>
      <c r="AI14" s="113">
        <f t="shared" si="3"/>
        <v>0</v>
      </c>
      <c r="AJ14" s="113">
        <f t="shared" si="3"/>
        <v>0</v>
      </c>
      <c r="AK14" s="113">
        <f t="shared" si="3"/>
        <v>0</v>
      </c>
      <c r="AL14" s="113">
        <f t="shared" si="3"/>
        <v>0</v>
      </c>
      <c r="AM14" s="113">
        <f t="shared" si="3"/>
        <v>0</v>
      </c>
      <c r="AN14" s="113">
        <f t="shared" si="3"/>
        <v>0</v>
      </c>
      <c r="AO14" s="113">
        <f t="shared" si="3"/>
        <v>0</v>
      </c>
      <c r="AP14" s="113">
        <f t="shared" si="3"/>
        <v>0</v>
      </c>
      <c r="AQ14" s="114">
        <f t="shared" si="3"/>
        <v>0</v>
      </c>
    </row>
    <row r="15" spans="2:43" ht="12.75" customHeight="1">
      <c r="C15" s="38" t="s">
        <v>193</v>
      </c>
      <c r="D15" s="115">
        <f t="shared" ref="D15:AQ15" si="4">D18+D22+D26+D30+D34+D38+D42+D46+D50+D54+D58+D62</f>
        <v>0</v>
      </c>
      <c r="E15" s="115">
        <f t="shared" si="4"/>
        <v>0</v>
      </c>
      <c r="F15" s="115">
        <f t="shared" si="4"/>
        <v>0</v>
      </c>
      <c r="G15" s="115">
        <f t="shared" si="4"/>
        <v>0</v>
      </c>
      <c r="H15" s="115">
        <f t="shared" si="4"/>
        <v>0</v>
      </c>
      <c r="I15" s="115">
        <f t="shared" si="4"/>
        <v>0</v>
      </c>
      <c r="J15" s="115">
        <f t="shared" si="4"/>
        <v>0</v>
      </c>
      <c r="K15" s="115">
        <f t="shared" si="4"/>
        <v>0</v>
      </c>
      <c r="L15" s="115">
        <f t="shared" si="4"/>
        <v>0</v>
      </c>
      <c r="M15" s="115">
        <f t="shared" si="4"/>
        <v>0</v>
      </c>
      <c r="N15" s="115">
        <f t="shared" si="4"/>
        <v>0</v>
      </c>
      <c r="O15" s="115">
        <f t="shared" si="4"/>
        <v>0</v>
      </c>
      <c r="P15" s="115">
        <f t="shared" si="4"/>
        <v>0</v>
      </c>
      <c r="Q15" s="115">
        <f t="shared" si="4"/>
        <v>0</v>
      </c>
      <c r="R15" s="115">
        <f t="shared" si="4"/>
        <v>0</v>
      </c>
      <c r="S15" s="115">
        <f t="shared" si="4"/>
        <v>0</v>
      </c>
      <c r="T15" s="115">
        <f t="shared" si="4"/>
        <v>0</v>
      </c>
      <c r="U15" s="115">
        <f t="shared" si="4"/>
        <v>0</v>
      </c>
      <c r="V15" s="115">
        <f t="shared" si="4"/>
        <v>0</v>
      </c>
      <c r="W15" s="115">
        <f t="shared" si="4"/>
        <v>0</v>
      </c>
      <c r="X15" s="115">
        <f t="shared" si="4"/>
        <v>0</v>
      </c>
      <c r="Y15" s="115">
        <f t="shared" si="4"/>
        <v>0</v>
      </c>
      <c r="Z15" s="115">
        <f t="shared" si="4"/>
        <v>0</v>
      </c>
      <c r="AA15" s="115">
        <f t="shared" si="4"/>
        <v>0</v>
      </c>
      <c r="AB15" s="115">
        <f t="shared" si="4"/>
        <v>0</v>
      </c>
      <c r="AC15" s="115">
        <f t="shared" si="4"/>
        <v>0</v>
      </c>
      <c r="AD15" s="115">
        <f t="shared" si="4"/>
        <v>0</v>
      </c>
      <c r="AE15" s="115">
        <f t="shared" si="4"/>
        <v>0</v>
      </c>
      <c r="AF15" s="115">
        <f t="shared" si="4"/>
        <v>0</v>
      </c>
      <c r="AG15" s="115">
        <f t="shared" si="4"/>
        <v>0</v>
      </c>
      <c r="AH15" s="115">
        <f t="shared" si="4"/>
        <v>0</v>
      </c>
      <c r="AI15" s="115">
        <f t="shared" si="4"/>
        <v>0</v>
      </c>
      <c r="AJ15" s="115">
        <f t="shared" si="4"/>
        <v>0</v>
      </c>
      <c r="AK15" s="115">
        <f t="shared" si="4"/>
        <v>0</v>
      </c>
      <c r="AL15" s="115">
        <f t="shared" si="4"/>
        <v>0</v>
      </c>
      <c r="AM15" s="115">
        <f t="shared" si="4"/>
        <v>0</v>
      </c>
      <c r="AN15" s="115">
        <f t="shared" si="4"/>
        <v>0</v>
      </c>
      <c r="AO15" s="115">
        <f t="shared" si="4"/>
        <v>0</v>
      </c>
      <c r="AP15" s="115">
        <f t="shared" si="4"/>
        <v>0</v>
      </c>
      <c r="AQ15" s="116">
        <f t="shared" si="4"/>
        <v>0</v>
      </c>
    </row>
    <row r="16" spans="2:43" ht="12.75" customHeight="1"/>
    <row r="17" spans="2:63" ht="12.75" customHeight="1">
      <c r="B17" s="91" t="s">
        <v>194</v>
      </c>
      <c r="C17" s="109" t="s">
        <v>195</v>
      </c>
      <c r="D17" s="117">
        <f>IF(E5="Yes",IF(D9=C5,C3,D$11),D11)</f>
        <v>0</v>
      </c>
      <c r="E17" s="117">
        <f t="shared" ref="E17:AQ17" si="5">E$11</f>
        <v>0</v>
      </c>
      <c r="F17" s="117">
        <f t="shared" si="5"/>
        <v>0</v>
      </c>
      <c r="G17" s="117">
        <f t="shared" si="5"/>
        <v>0</v>
      </c>
      <c r="H17" s="117">
        <f t="shared" si="5"/>
        <v>0</v>
      </c>
      <c r="I17" s="117">
        <f t="shared" si="5"/>
        <v>0</v>
      </c>
      <c r="J17" s="117">
        <f t="shared" si="5"/>
        <v>0</v>
      </c>
      <c r="K17" s="117">
        <f t="shared" si="5"/>
        <v>0</v>
      </c>
      <c r="L17" s="117">
        <f t="shared" si="5"/>
        <v>0</v>
      </c>
      <c r="M17" s="117">
        <f t="shared" si="5"/>
        <v>0</v>
      </c>
      <c r="N17" s="117">
        <f t="shared" si="5"/>
        <v>0</v>
      </c>
      <c r="O17" s="117">
        <f t="shared" si="5"/>
        <v>0</v>
      </c>
      <c r="P17" s="117">
        <f t="shared" si="5"/>
        <v>0</v>
      </c>
      <c r="Q17" s="117">
        <f t="shared" si="5"/>
        <v>0</v>
      </c>
      <c r="R17" s="117">
        <f t="shared" si="5"/>
        <v>0</v>
      </c>
      <c r="S17" s="117">
        <f t="shared" si="5"/>
        <v>0</v>
      </c>
      <c r="T17" s="117">
        <f t="shared" si="5"/>
        <v>0</v>
      </c>
      <c r="U17" s="117">
        <f t="shared" si="5"/>
        <v>0</v>
      </c>
      <c r="V17" s="117">
        <f t="shared" si="5"/>
        <v>0</v>
      </c>
      <c r="W17" s="117">
        <f t="shared" si="5"/>
        <v>0</v>
      </c>
      <c r="X17" s="117">
        <f t="shared" si="5"/>
        <v>0</v>
      </c>
      <c r="Y17" s="117">
        <f t="shared" si="5"/>
        <v>0</v>
      </c>
      <c r="Z17" s="117">
        <f t="shared" si="5"/>
        <v>0</v>
      </c>
      <c r="AA17" s="117">
        <f t="shared" si="5"/>
        <v>0</v>
      </c>
      <c r="AB17" s="117">
        <f t="shared" si="5"/>
        <v>0</v>
      </c>
      <c r="AC17" s="117">
        <f t="shared" si="5"/>
        <v>0</v>
      </c>
      <c r="AD17" s="117">
        <f t="shared" si="5"/>
        <v>0</v>
      </c>
      <c r="AE17" s="117">
        <f t="shared" si="5"/>
        <v>0</v>
      </c>
      <c r="AF17" s="117">
        <f t="shared" si="5"/>
        <v>0</v>
      </c>
      <c r="AG17" s="117">
        <f t="shared" si="5"/>
        <v>0</v>
      </c>
      <c r="AH17" s="117">
        <f t="shared" si="5"/>
        <v>0</v>
      </c>
      <c r="AI17" s="117">
        <f t="shared" si="5"/>
        <v>0</v>
      </c>
      <c r="AJ17" s="117">
        <f t="shared" si="5"/>
        <v>0</v>
      </c>
      <c r="AK17" s="117">
        <f t="shared" si="5"/>
        <v>0</v>
      </c>
      <c r="AL17" s="117">
        <f t="shared" si="5"/>
        <v>0</v>
      </c>
      <c r="AM17" s="117">
        <f t="shared" si="5"/>
        <v>0</v>
      </c>
      <c r="AN17" s="117">
        <f t="shared" si="5"/>
        <v>0</v>
      </c>
      <c r="AO17" s="117">
        <f t="shared" si="5"/>
        <v>0</v>
      </c>
      <c r="AP17" s="117">
        <f t="shared" si="5"/>
        <v>0</v>
      </c>
      <c r="AQ17" s="118">
        <f t="shared" si="5"/>
        <v>0</v>
      </c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</row>
    <row r="18" spans="2:63" ht="12.75" customHeight="1">
      <c r="B18" s="23"/>
      <c r="C18" s="24" t="s">
        <v>196</v>
      </c>
      <c r="D18" s="113">
        <f>C3*D$10/12</f>
        <v>0</v>
      </c>
      <c r="E18" s="113">
        <f t="shared" ref="E18:AQ18" si="6">D63*E$10/12</f>
        <v>0</v>
      </c>
      <c r="F18" s="113">
        <f t="shared" si="6"/>
        <v>0</v>
      </c>
      <c r="G18" s="113">
        <f t="shared" si="6"/>
        <v>0</v>
      </c>
      <c r="H18" s="113">
        <f t="shared" si="6"/>
        <v>0</v>
      </c>
      <c r="I18" s="113">
        <f t="shared" si="6"/>
        <v>0</v>
      </c>
      <c r="J18" s="113">
        <f t="shared" si="6"/>
        <v>0</v>
      </c>
      <c r="K18" s="113">
        <f t="shared" si="6"/>
        <v>0</v>
      </c>
      <c r="L18" s="113">
        <f t="shared" si="6"/>
        <v>0</v>
      </c>
      <c r="M18" s="113">
        <f t="shared" si="6"/>
        <v>0</v>
      </c>
      <c r="N18" s="113">
        <f t="shared" si="6"/>
        <v>0</v>
      </c>
      <c r="O18" s="113">
        <f t="shared" si="6"/>
        <v>0</v>
      </c>
      <c r="P18" s="113">
        <f t="shared" si="6"/>
        <v>0</v>
      </c>
      <c r="Q18" s="113">
        <f t="shared" si="6"/>
        <v>0</v>
      </c>
      <c r="R18" s="113">
        <f t="shared" si="6"/>
        <v>0</v>
      </c>
      <c r="S18" s="113">
        <f t="shared" si="6"/>
        <v>0</v>
      </c>
      <c r="T18" s="113">
        <f t="shared" si="6"/>
        <v>0</v>
      </c>
      <c r="U18" s="113">
        <f t="shared" si="6"/>
        <v>0</v>
      </c>
      <c r="V18" s="113">
        <f t="shared" si="6"/>
        <v>0</v>
      </c>
      <c r="W18" s="113">
        <f t="shared" si="6"/>
        <v>0</v>
      </c>
      <c r="X18" s="113">
        <f t="shared" si="6"/>
        <v>0</v>
      </c>
      <c r="Y18" s="113">
        <f t="shared" si="6"/>
        <v>0</v>
      </c>
      <c r="Z18" s="113">
        <f t="shared" si="6"/>
        <v>0</v>
      </c>
      <c r="AA18" s="113">
        <f t="shared" si="6"/>
        <v>0</v>
      </c>
      <c r="AB18" s="113">
        <f t="shared" si="6"/>
        <v>0</v>
      </c>
      <c r="AC18" s="113">
        <f t="shared" si="6"/>
        <v>0</v>
      </c>
      <c r="AD18" s="113">
        <f t="shared" si="6"/>
        <v>0</v>
      </c>
      <c r="AE18" s="113">
        <f t="shared" si="6"/>
        <v>0</v>
      </c>
      <c r="AF18" s="113">
        <f t="shared" si="6"/>
        <v>0</v>
      </c>
      <c r="AG18" s="113">
        <f t="shared" si="6"/>
        <v>0</v>
      </c>
      <c r="AH18" s="113">
        <f t="shared" si="6"/>
        <v>0</v>
      </c>
      <c r="AI18" s="113">
        <f t="shared" si="6"/>
        <v>0</v>
      </c>
      <c r="AJ18" s="113">
        <f t="shared" si="6"/>
        <v>0</v>
      </c>
      <c r="AK18" s="113">
        <f t="shared" si="6"/>
        <v>0</v>
      </c>
      <c r="AL18" s="113">
        <f t="shared" si="6"/>
        <v>0</v>
      </c>
      <c r="AM18" s="113">
        <f t="shared" si="6"/>
        <v>0</v>
      </c>
      <c r="AN18" s="113">
        <f t="shared" si="6"/>
        <v>0</v>
      </c>
      <c r="AO18" s="113">
        <f t="shared" si="6"/>
        <v>0</v>
      </c>
      <c r="AP18" s="113">
        <f t="shared" si="6"/>
        <v>0</v>
      </c>
      <c r="AQ18" s="114">
        <f t="shared" si="6"/>
        <v>0</v>
      </c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19"/>
      <c r="BJ18" s="119"/>
      <c r="BK18" s="119"/>
    </row>
    <row r="19" spans="2:63" ht="12.75" customHeight="1">
      <c r="B19" s="23"/>
      <c r="C19" s="24" t="s">
        <v>197</v>
      </c>
      <c r="D19" s="113">
        <f>C3-D17+D18</f>
        <v>0</v>
      </c>
      <c r="E19" s="113">
        <f t="shared" ref="E19:AQ19" si="7">D63-E17+E18</f>
        <v>0</v>
      </c>
      <c r="F19" s="113">
        <f t="shared" si="7"/>
        <v>0</v>
      </c>
      <c r="G19" s="113">
        <f t="shared" si="7"/>
        <v>0</v>
      </c>
      <c r="H19" s="113">
        <f t="shared" si="7"/>
        <v>0</v>
      </c>
      <c r="I19" s="113">
        <f t="shared" si="7"/>
        <v>0</v>
      </c>
      <c r="J19" s="113">
        <f t="shared" si="7"/>
        <v>0</v>
      </c>
      <c r="K19" s="113">
        <f t="shared" si="7"/>
        <v>0</v>
      </c>
      <c r="L19" s="113">
        <f t="shared" si="7"/>
        <v>0</v>
      </c>
      <c r="M19" s="113">
        <f t="shared" si="7"/>
        <v>0</v>
      </c>
      <c r="N19" s="113">
        <f t="shared" si="7"/>
        <v>0</v>
      </c>
      <c r="O19" s="113">
        <f t="shared" si="7"/>
        <v>0</v>
      </c>
      <c r="P19" s="113">
        <f t="shared" si="7"/>
        <v>0</v>
      </c>
      <c r="Q19" s="113">
        <f t="shared" si="7"/>
        <v>0</v>
      </c>
      <c r="R19" s="113">
        <f t="shared" si="7"/>
        <v>0</v>
      </c>
      <c r="S19" s="113">
        <f t="shared" si="7"/>
        <v>0</v>
      </c>
      <c r="T19" s="113">
        <f t="shared" si="7"/>
        <v>0</v>
      </c>
      <c r="U19" s="113">
        <f t="shared" si="7"/>
        <v>0</v>
      </c>
      <c r="V19" s="113">
        <f t="shared" si="7"/>
        <v>0</v>
      </c>
      <c r="W19" s="113">
        <f t="shared" si="7"/>
        <v>0</v>
      </c>
      <c r="X19" s="113">
        <f t="shared" si="7"/>
        <v>0</v>
      </c>
      <c r="Y19" s="113">
        <f t="shared" si="7"/>
        <v>0</v>
      </c>
      <c r="Z19" s="113">
        <f t="shared" si="7"/>
        <v>0</v>
      </c>
      <c r="AA19" s="113">
        <f t="shared" si="7"/>
        <v>0</v>
      </c>
      <c r="AB19" s="113">
        <f t="shared" si="7"/>
        <v>0</v>
      </c>
      <c r="AC19" s="113">
        <f t="shared" si="7"/>
        <v>0</v>
      </c>
      <c r="AD19" s="113">
        <f t="shared" si="7"/>
        <v>0</v>
      </c>
      <c r="AE19" s="113">
        <f t="shared" si="7"/>
        <v>0</v>
      </c>
      <c r="AF19" s="113">
        <f t="shared" si="7"/>
        <v>0</v>
      </c>
      <c r="AG19" s="113">
        <f t="shared" si="7"/>
        <v>0</v>
      </c>
      <c r="AH19" s="113">
        <f t="shared" si="7"/>
        <v>0</v>
      </c>
      <c r="AI19" s="113">
        <f t="shared" si="7"/>
        <v>0</v>
      </c>
      <c r="AJ19" s="113">
        <f t="shared" si="7"/>
        <v>0</v>
      </c>
      <c r="AK19" s="113">
        <f t="shared" si="7"/>
        <v>0</v>
      </c>
      <c r="AL19" s="113">
        <f t="shared" si="7"/>
        <v>0</v>
      </c>
      <c r="AM19" s="113">
        <f t="shared" si="7"/>
        <v>0</v>
      </c>
      <c r="AN19" s="113">
        <f t="shared" si="7"/>
        <v>0</v>
      </c>
      <c r="AO19" s="113">
        <f t="shared" si="7"/>
        <v>0</v>
      </c>
      <c r="AP19" s="113">
        <f t="shared" si="7"/>
        <v>0</v>
      </c>
      <c r="AQ19" s="114">
        <f t="shared" si="7"/>
        <v>0</v>
      </c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</row>
    <row r="20" spans="2:63" ht="12.75" customHeight="1">
      <c r="B20" s="23"/>
      <c r="C20" s="24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4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</row>
    <row r="21" spans="2:63" ht="12.75" customHeight="1">
      <c r="B21" s="23" t="s">
        <v>198</v>
      </c>
      <c r="C21" s="24" t="s">
        <v>195</v>
      </c>
      <c r="D21" s="113">
        <f t="shared" ref="D21:AQ21" si="8">D$11</f>
        <v>0</v>
      </c>
      <c r="E21" s="113">
        <f t="shared" si="8"/>
        <v>0</v>
      </c>
      <c r="F21" s="113">
        <f t="shared" si="8"/>
        <v>0</v>
      </c>
      <c r="G21" s="113">
        <f t="shared" si="8"/>
        <v>0</v>
      </c>
      <c r="H21" s="113">
        <f t="shared" si="8"/>
        <v>0</v>
      </c>
      <c r="I21" s="113">
        <f t="shared" si="8"/>
        <v>0</v>
      </c>
      <c r="J21" s="113">
        <f t="shared" si="8"/>
        <v>0</v>
      </c>
      <c r="K21" s="113">
        <f t="shared" si="8"/>
        <v>0</v>
      </c>
      <c r="L21" s="113">
        <f t="shared" si="8"/>
        <v>0</v>
      </c>
      <c r="M21" s="113">
        <f t="shared" si="8"/>
        <v>0</v>
      </c>
      <c r="N21" s="113">
        <f t="shared" si="8"/>
        <v>0</v>
      </c>
      <c r="O21" s="113">
        <f t="shared" si="8"/>
        <v>0</v>
      </c>
      <c r="P21" s="113">
        <f t="shared" si="8"/>
        <v>0</v>
      </c>
      <c r="Q21" s="113">
        <f t="shared" si="8"/>
        <v>0</v>
      </c>
      <c r="R21" s="113">
        <f t="shared" si="8"/>
        <v>0</v>
      </c>
      <c r="S21" s="113">
        <f t="shared" si="8"/>
        <v>0</v>
      </c>
      <c r="T21" s="113">
        <f t="shared" si="8"/>
        <v>0</v>
      </c>
      <c r="U21" s="113">
        <f t="shared" si="8"/>
        <v>0</v>
      </c>
      <c r="V21" s="113">
        <f t="shared" si="8"/>
        <v>0</v>
      </c>
      <c r="W21" s="113">
        <f t="shared" si="8"/>
        <v>0</v>
      </c>
      <c r="X21" s="113">
        <f t="shared" si="8"/>
        <v>0</v>
      </c>
      <c r="Y21" s="113">
        <f t="shared" si="8"/>
        <v>0</v>
      </c>
      <c r="Z21" s="113">
        <f t="shared" si="8"/>
        <v>0</v>
      </c>
      <c r="AA21" s="113">
        <f t="shared" si="8"/>
        <v>0</v>
      </c>
      <c r="AB21" s="113">
        <f t="shared" si="8"/>
        <v>0</v>
      </c>
      <c r="AC21" s="113">
        <f t="shared" si="8"/>
        <v>0</v>
      </c>
      <c r="AD21" s="113">
        <f t="shared" si="8"/>
        <v>0</v>
      </c>
      <c r="AE21" s="113">
        <f t="shared" si="8"/>
        <v>0</v>
      </c>
      <c r="AF21" s="113">
        <f t="shared" si="8"/>
        <v>0</v>
      </c>
      <c r="AG21" s="113">
        <f t="shared" si="8"/>
        <v>0</v>
      </c>
      <c r="AH21" s="113">
        <f t="shared" si="8"/>
        <v>0</v>
      </c>
      <c r="AI21" s="113">
        <f t="shared" si="8"/>
        <v>0</v>
      </c>
      <c r="AJ21" s="113">
        <f t="shared" si="8"/>
        <v>0</v>
      </c>
      <c r="AK21" s="113">
        <f t="shared" si="8"/>
        <v>0</v>
      </c>
      <c r="AL21" s="113">
        <f t="shared" si="8"/>
        <v>0</v>
      </c>
      <c r="AM21" s="113">
        <f t="shared" si="8"/>
        <v>0</v>
      </c>
      <c r="AN21" s="113">
        <f t="shared" si="8"/>
        <v>0</v>
      </c>
      <c r="AO21" s="113">
        <f t="shared" si="8"/>
        <v>0</v>
      </c>
      <c r="AP21" s="113">
        <f t="shared" si="8"/>
        <v>0</v>
      </c>
      <c r="AQ21" s="114">
        <f t="shared" si="8"/>
        <v>0</v>
      </c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</row>
    <row r="22" spans="2:63" ht="12.75" customHeight="1">
      <c r="B22" s="23"/>
      <c r="C22" s="24" t="s">
        <v>196</v>
      </c>
      <c r="D22" s="113">
        <f t="shared" ref="D22:AQ22" si="9">D19*D$10/12</f>
        <v>0</v>
      </c>
      <c r="E22" s="113">
        <f t="shared" si="9"/>
        <v>0</v>
      </c>
      <c r="F22" s="113">
        <f t="shared" si="9"/>
        <v>0</v>
      </c>
      <c r="G22" s="113">
        <f t="shared" si="9"/>
        <v>0</v>
      </c>
      <c r="H22" s="113">
        <f t="shared" si="9"/>
        <v>0</v>
      </c>
      <c r="I22" s="113">
        <f t="shared" si="9"/>
        <v>0</v>
      </c>
      <c r="J22" s="113">
        <f t="shared" si="9"/>
        <v>0</v>
      </c>
      <c r="K22" s="113">
        <f t="shared" si="9"/>
        <v>0</v>
      </c>
      <c r="L22" s="113">
        <f t="shared" si="9"/>
        <v>0</v>
      </c>
      <c r="M22" s="113">
        <f t="shared" si="9"/>
        <v>0</v>
      </c>
      <c r="N22" s="113">
        <f t="shared" si="9"/>
        <v>0</v>
      </c>
      <c r="O22" s="113">
        <f t="shared" si="9"/>
        <v>0</v>
      </c>
      <c r="P22" s="113">
        <f t="shared" si="9"/>
        <v>0</v>
      </c>
      <c r="Q22" s="113">
        <f t="shared" si="9"/>
        <v>0</v>
      </c>
      <c r="R22" s="113">
        <f t="shared" si="9"/>
        <v>0</v>
      </c>
      <c r="S22" s="113">
        <f t="shared" si="9"/>
        <v>0</v>
      </c>
      <c r="T22" s="113">
        <f t="shared" si="9"/>
        <v>0</v>
      </c>
      <c r="U22" s="113">
        <f t="shared" si="9"/>
        <v>0</v>
      </c>
      <c r="V22" s="113">
        <f t="shared" si="9"/>
        <v>0</v>
      </c>
      <c r="W22" s="113">
        <f t="shared" si="9"/>
        <v>0</v>
      </c>
      <c r="X22" s="113">
        <f t="shared" si="9"/>
        <v>0</v>
      </c>
      <c r="Y22" s="113">
        <f t="shared" si="9"/>
        <v>0</v>
      </c>
      <c r="Z22" s="113">
        <f t="shared" si="9"/>
        <v>0</v>
      </c>
      <c r="AA22" s="113">
        <f t="shared" si="9"/>
        <v>0</v>
      </c>
      <c r="AB22" s="113">
        <f t="shared" si="9"/>
        <v>0</v>
      </c>
      <c r="AC22" s="113">
        <f t="shared" si="9"/>
        <v>0</v>
      </c>
      <c r="AD22" s="113">
        <f t="shared" si="9"/>
        <v>0</v>
      </c>
      <c r="AE22" s="113">
        <f t="shared" si="9"/>
        <v>0</v>
      </c>
      <c r="AF22" s="113">
        <f t="shared" si="9"/>
        <v>0</v>
      </c>
      <c r="AG22" s="113">
        <f t="shared" si="9"/>
        <v>0</v>
      </c>
      <c r="AH22" s="113">
        <f t="shared" si="9"/>
        <v>0</v>
      </c>
      <c r="AI22" s="113">
        <f t="shared" si="9"/>
        <v>0</v>
      </c>
      <c r="AJ22" s="113">
        <f t="shared" si="9"/>
        <v>0</v>
      </c>
      <c r="AK22" s="113">
        <f t="shared" si="9"/>
        <v>0</v>
      </c>
      <c r="AL22" s="113">
        <f t="shared" si="9"/>
        <v>0</v>
      </c>
      <c r="AM22" s="113">
        <f t="shared" si="9"/>
        <v>0</v>
      </c>
      <c r="AN22" s="113">
        <f t="shared" si="9"/>
        <v>0</v>
      </c>
      <c r="AO22" s="113">
        <f t="shared" si="9"/>
        <v>0</v>
      </c>
      <c r="AP22" s="113">
        <f t="shared" si="9"/>
        <v>0</v>
      </c>
      <c r="AQ22" s="114">
        <f t="shared" si="9"/>
        <v>0</v>
      </c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19"/>
      <c r="BI22" s="119"/>
      <c r="BJ22" s="119"/>
      <c r="BK22" s="119"/>
    </row>
    <row r="23" spans="2:63" ht="12.75" customHeight="1">
      <c r="B23" s="23"/>
      <c r="C23" s="24" t="s">
        <v>197</v>
      </c>
      <c r="D23" s="113">
        <f t="shared" ref="D23:AQ23" si="10">D19-D21+D22</f>
        <v>0</v>
      </c>
      <c r="E23" s="113">
        <f t="shared" si="10"/>
        <v>0</v>
      </c>
      <c r="F23" s="113">
        <f t="shared" si="10"/>
        <v>0</v>
      </c>
      <c r="G23" s="113">
        <f t="shared" si="10"/>
        <v>0</v>
      </c>
      <c r="H23" s="113">
        <f t="shared" si="10"/>
        <v>0</v>
      </c>
      <c r="I23" s="113">
        <f t="shared" si="10"/>
        <v>0</v>
      </c>
      <c r="J23" s="113">
        <f t="shared" si="10"/>
        <v>0</v>
      </c>
      <c r="K23" s="113">
        <f t="shared" si="10"/>
        <v>0</v>
      </c>
      <c r="L23" s="113">
        <f t="shared" si="10"/>
        <v>0</v>
      </c>
      <c r="M23" s="113">
        <f t="shared" si="10"/>
        <v>0</v>
      </c>
      <c r="N23" s="113">
        <f t="shared" si="10"/>
        <v>0</v>
      </c>
      <c r="O23" s="113">
        <f t="shared" si="10"/>
        <v>0</v>
      </c>
      <c r="P23" s="113">
        <f t="shared" si="10"/>
        <v>0</v>
      </c>
      <c r="Q23" s="113">
        <f t="shared" si="10"/>
        <v>0</v>
      </c>
      <c r="R23" s="113">
        <f t="shared" si="10"/>
        <v>0</v>
      </c>
      <c r="S23" s="113">
        <f t="shared" si="10"/>
        <v>0</v>
      </c>
      <c r="T23" s="113">
        <f t="shared" si="10"/>
        <v>0</v>
      </c>
      <c r="U23" s="113">
        <f t="shared" si="10"/>
        <v>0</v>
      </c>
      <c r="V23" s="113">
        <f t="shared" si="10"/>
        <v>0</v>
      </c>
      <c r="W23" s="113">
        <f t="shared" si="10"/>
        <v>0</v>
      </c>
      <c r="X23" s="113">
        <f t="shared" si="10"/>
        <v>0</v>
      </c>
      <c r="Y23" s="113">
        <f t="shared" si="10"/>
        <v>0</v>
      </c>
      <c r="Z23" s="113">
        <f t="shared" si="10"/>
        <v>0</v>
      </c>
      <c r="AA23" s="113">
        <f t="shared" si="10"/>
        <v>0</v>
      </c>
      <c r="AB23" s="113">
        <f t="shared" si="10"/>
        <v>0</v>
      </c>
      <c r="AC23" s="113">
        <f t="shared" si="10"/>
        <v>0</v>
      </c>
      <c r="AD23" s="113">
        <f t="shared" si="10"/>
        <v>0</v>
      </c>
      <c r="AE23" s="113">
        <f t="shared" si="10"/>
        <v>0</v>
      </c>
      <c r="AF23" s="113">
        <f t="shared" si="10"/>
        <v>0</v>
      </c>
      <c r="AG23" s="113">
        <f t="shared" si="10"/>
        <v>0</v>
      </c>
      <c r="AH23" s="113">
        <f t="shared" si="10"/>
        <v>0</v>
      </c>
      <c r="AI23" s="113">
        <f t="shared" si="10"/>
        <v>0</v>
      </c>
      <c r="AJ23" s="113">
        <f t="shared" si="10"/>
        <v>0</v>
      </c>
      <c r="AK23" s="113">
        <f t="shared" si="10"/>
        <v>0</v>
      </c>
      <c r="AL23" s="113">
        <f t="shared" si="10"/>
        <v>0</v>
      </c>
      <c r="AM23" s="113">
        <f t="shared" si="10"/>
        <v>0</v>
      </c>
      <c r="AN23" s="113">
        <f t="shared" si="10"/>
        <v>0</v>
      </c>
      <c r="AO23" s="113">
        <f t="shared" si="10"/>
        <v>0</v>
      </c>
      <c r="AP23" s="113">
        <f t="shared" si="10"/>
        <v>0</v>
      </c>
      <c r="AQ23" s="114">
        <f t="shared" si="10"/>
        <v>0</v>
      </c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</row>
    <row r="24" spans="2:63" ht="12.75" customHeight="1">
      <c r="B24" s="23"/>
      <c r="C24" s="24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4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19"/>
      <c r="BJ24" s="119"/>
      <c r="BK24" s="119"/>
    </row>
    <row r="25" spans="2:63" ht="12.75" customHeight="1">
      <c r="B25" s="23" t="s">
        <v>199</v>
      </c>
      <c r="C25" s="24" t="s">
        <v>195</v>
      </c>
      <c r="D25" s="113">
        <f t="shared" ref="D25:AQ25" si="11">D$11</f>
        <v>0</v>
      </c>
      <c r="E25" s="113">
        <f t="shared" si="11"/>
        <v>0</v>
      </c>
      <c r="F25" s="113">
        <f t="shared" si="11"/>
        <v>0</v>
      </c>
      <c r="G25" s="113">
        <f t="shared" si="11"/>
        <v>0</v>
      </c>
      <c r="H25" s="113">
        <f t="shared" si="11"/>
        <v>0</v>
      </c>
      <c r="I25" s="113">
        <f t="shared" si="11"/>
        <v>0</v>
      </c>
      <c r="J25" s="113">
        <f t="shared" si="11"/>
        <v>0</v>
      </c>
      <c r="K25" s="113">
        <f t="shared" si="11"/>
        <v>0</v>
      </c>
      <c r="L25" s="113">
        <f t="shared" si="11"/>
        <v>0</v>
      </c>
      <c r="M25" s="113">
        <f t="shared" si="11"/>
        <v>0</v>
      </c>
      <c r="N25" s="113">
        <f t="shared" si="11"/>
        <v>0</v>
      </c>
      <c r="O25" s="113">
        <f t="shared" si="11"/>
        <v>0</v>
      </c>
      <c r="P25" s="113">
        <f t="shared" si="11"/>
        <v>0</v>
      </c>
      <c r="Q25" s="113">
        <f t="shared" si="11"/>
        <v>0</v>
      </c>
      <c r="R25" s="113">
        <f t="shared" si="11"/>
        <v>0</v>
      </c>
      <c r="S25" s="113">
        <f t="shared" si="11"/>
        <v>0</v>
      </c>
      <c r="T25" s="113">
        <f t="shared" si="11"/>
        <v>0</v>
      </c>
      <c r="U25" s="113">
        <f t="shared" si="11"/>
        <v>0</v>
      </c>
      <c r="V25" s="113">
        <f t="shared" si="11"/>
        <v>0</v>
      </c>
      <c r="W25" s="113">
        <f t="shared" si="11"/>
        <v>0</v>
      </c>
      <c r="X25" s="113">
        <f t="shared" si="11"/>
        <v>0</v>
      </c>
      <c r="Y25" s="113">
        <f t="shared" si="11"/>
        <v>0</v>
      </c>
      <c r="Z25" s="113">
        <f t="shared" si="11"/>
        <v>0</v>
      </c>
      <c r="AA25" s="113">
        <f t="shared" si="11"/>
        <v>0</v>
      </c>
      <c r="AB25" s="113">
        <f t="shared" si="11"/>
        <v>0</v>
      </c>
      <c r="AC25" s="113">
        <f t="shared" si="11"/>
        <v>0</v>
      </c>
      <c r="AD25" s="113">
        <f t="shared" si="11"/>
        <v>0</v>
      </c>
      <c r="AE25" s="113">
        <f t="shared" si="11"/>
        <v>0</v>
      </c>
      <c r="AF25" s="113">
        <f t="shared" si="11"/>
        <v>0</v>
      </c>
      <c r="AG25" s="113">
        <f t="shared" si="11"/>
        <v>0</v>
      </c>
      <c r="AH25" s="113">
        <f t="shared" si="11"/>
        <v>0</v>
      </c>
      <c r="AI25" s="113">
        <f t="shared" si="11"/>
        <v>0</v>
      </c>
      <c r="AJ25" s="113">
        <f t="shared" si="11"/>
        <v>0</v>
      </c>
      <c r="AK25" s="113">
        <f t="shared" si="11"/>
        <v>0</v>
      </c>
      <c r="AL25" s="113">
        <f t="shared" si="11"/>
        <v>0</v>
      </c>
      <c r="AM25" s="113">
        <f t="shared" si="11"/>
        <v>0</v>
      </c>
      <c r="AN25" s="113">
        <f t="shared" si="11"/>
        <v>0</v>
      </c>
      <c r="AO25" s="113">
        <f t="shared" si="11"/>
        <v>0</v>
      </c>
      <c r="AP25" s="113">
        <f t="shared" si="11"/>
        <v>0</v>
      </c>
      <c r="AQ25" s="114">
        <f t="shared" si="11"/>
        <v>0</v>
      </c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</row>
    <row r="26" spans="2:63" ht="12.75" customHeight="1">
      <c r="B26" s="23"/>
      <c r="C26" s="24" t="s">
        <v>196</v>
      </c>
      <c r="D26" s="113">
        <f t="shared" ref="D26:AQ26" si="12">D23*D$10/12</f>
        <v>0</v>
      </c>
      <c r="E26" s="113">
        <f t="shared" si="12"/>
        <v>0</v>
      </c>
      <c r="F26" s="113">
        <f t="shared" si="12"/>
        <v>0</v>
      </c>
      <c r="G26" s="113">
        <f t="shared" si="12"/>
        <v>0</v>
      </c>
      <c r="H26" s="113">
        <f t="shared" si="12"/>
        <v>0</v>
      </c>
      <c r="I26" s="113">
        <f t="shared" si="12"/>
        <v>0</v>
      </c>
      <c r="J26" s="113">
        <f t="shared" si="12"/>
        <v>0</v>
      </c>
      <c r="K26" s="113">
        <f t="shared" si="12"/>
        <v>0</v>
      </c>
      <c r="L26" s="113">
        <f t="shared" si="12"/>
        <v>0</v>
      </c>
      <c r="M26" s="113">
        <f t="shared" si="12"/>
        <v>0</v>
      </c>
      <c r="N26" s="113">
        <f t="shared" si="12"/>
        <v>0</v>
      </c>
      <c r="O26" s="113">
        <f t="shared" si="12"/>
        <v>0</v>
      </c>
      <c r="P26" s="113">
        <f t="shared" si="12"/>
        <v>0</v>
      </c>
      <c r="Q26" s="113">
        <f t="shared" si="12"/>
        <v>0</v>
      </c>
      <c r="R26" s="113">
        <f t="shared" si="12"/>
        <v>0</v>
      </c>
      <c r="S26" s="113">
        <f t="shared" si="12"/>
        <v>0</v>
      </c>
      <c r="T26" s="113">
        <f t="shared" si="12"/>
        <v>0</v>
      </c>
      <c r="U26" s="113">
        <f t="shared" si="12"/>
        <v>0</v>
      </c>
      <c r="V26" s="113">
        <f t="shared" si="12"/>
        <v>0</v>
      </c>
      <c r="W26" s="113">
        <f t="shared" si="12"/>
        <v>0</v>
      </c>
      <c r="X26" s="113">
        <f t="shared" si="12"/>
        <v>0</v>
      </c>
      <c r="Y26" s="113">
        <f t="shared" si="12"/>
        <v>0</v>
      </c>
      <c r="Z26" s="113">
        <f t="shared" si="12"/>
        <v>0</v>
      </c>
      <c r="AA26" s="113">
        <f t="shared" si="12"/>
        <v>0</v>
      </c>
      <c r="AB26" s="113">
        <f t="shared" si="12"/>
        <v>0</v>
      </c>
      <c r="AC26" s="113">
        <f t="shared" si="12"/>
        <v>0</v>
      </c>
      <c r="AD26" s="113">
        <f t="shared" si="12"/>
        <v>0</v>
      </c>
      <c r="AE26" s="113">
        <f t="shared" si="12"/>
        <v>0</v>
      </c>
      <c r="AF26" s="113">
        <f t="shared" si="12"/>
        <v>0</v>
      </c>
      <c r="AG26" s="113">
        <f t="shared" si="12"/>
        <v>0</v>
      </c>
      <c r="AH26" s="113">
        <f t="shared" si="12"/>
        <v>0</v>
      </c>
      <c r="AI26" s="113">
        <f t="shared" si="12"/>
        <v>0</v>
      </c>
      <c r="AJ26" s="113">
        <f t="shared" si="12"/>
        <v>0</v>
      </c>
      <c r="AK26" s="113">
        <f t="shared" si="12"/>
        <v>0</v>
      </c>
      <c r="AL26" s="113">
        <f t="shared" si="12"/>
        <v>0</v>
      </c>
      <c r="AM26" s="113">
        <f t="shared" si="12"/>
        <v>0</v>
      </c>
      <c r="AN26" s="113">
        <f t="shared" si="12"/>
        <v>0</v>
      </c>
      <c r="AO26" s="113">
        <f t="shared" si="12"/>
        <v>0</v>
      </c>
      <c r="AP26" s="113">
        <f t="shared" si="12"/>
        <v>0</v>
      </c>
      <c r="AQ26" s="114">
        <f t="shared" si="12"/>
        <v>0</v>
      </c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</row>
    <row r="27" spans="2:63" ht="12.75" customHeight="1">
      <c r="B27" s="23"/>
      <c r="C27" s="24" t="s">
        <v>197</v>
      </c>
      <c r="D27" s="113">
        <f t="shared" ref="D27:AQ27" si="13">D23-D25+D26</f>
        <v>0</v>
      </c>
      <c r="E27" s="113">
        <f t="shared" si="13"/>
        <v>0</v>
      </c>
      <c r="F27" s="113">
        <f t="shared" si="13"/>
        <v>0</v>
      </c>
      <c r="G27" s="113">
        <f t="shared" si="13"/>
        <v>0</v>
      </c>
      <c r="H27" s="113">
        <f t="shared" si="13"/>
        <v>0</v>
      </c>
      <c r="I27" s="113">
        <f t="shared" si="13"/>
        <v>0</v>
      </c>
      <c r="J27" s="113">
        <f t="shared" si="13"/>
        <v>0</v>
      </c>
      <c r="K27" s="113">
        <f t="shared" si="13"/>
        <v>0</v>
      </c>
      <c r="L27" s="113">
        <f t="shared" si="13"/>
        <v>0</v>
      </c>
      <c r="M27" s="113">
        <f t="shared" si="13"/>
        <v>0</v>
      </c>
      <c r="N27" s="113">
        <f t="shared" si="13"/>
        <v>0</v>
      </c>
      <c r="O27" s="113">
        <f t="shared" si="13"/>
        <v>0</v>
      </c>
      <c r="P27" s="113">
        <f t="shared" si="13"/>
        <v>0</v>
      </c>
      <c r="Q27" s="113">
        <f t="shared" si="13"/>
        <v>0</v>
      </c>
      <c r="R27" s="113">
        <f t="shared" si="13"/>
        <v>0</v>
      </c>
      <c r="S27" s="113">
        <f t="shared" si="13"/>
        <v>0</v>
      </c>
      <c r="T27" s="113">
        <f t="shared" si="13"/>
        <v>0</v>
      </c>
      <c r="U27" s="113">
        <f t="shared" si="13"/>
        <v>0</v>
      </c>
      <c r="V27" s="113">
        <f t="shared" si="13"/>
        <v>0</v>
      </c>
      <c r="W27" s="113">
        <f t="shared" si="13"/>
        <v>0</v>
      </c>
      <c r="X27" s="113">
        <f t="shared" si="13"/>
        <v>0</v>
      </c>
      <c r="Y27" s="113">
        <f t="shared" si="13"/>
        <v>0</v>
      </c>
      <c r="Z27" s="113">
        <f t="shared" si="13"/>
        <v>0</v>
      </c>
      <c r="AA27" s="113">
        <f t="shared" si="13"/>
        <v>0</v>
      </c>
      <c r="AB27" s="113">
        <f t="shared" si="13"/>
        <v>0</v>
      </c>
      <c r="AC27" s="113">
        <f t="shared" si="13"/>
        <v>0</v>
      </c>
      <c r="AD27" s="113">
        <f t="shared" si="13"/>
        <v>0</v>
      </c>
      <c r="AE27" s="113">
        <f t="shared" si="13"/>
        <v>0</v>
      </c>
      <c r="AF27" s="113">
        <f t="shared" si="13"/>
        <v>0</v>
      </c>
      <c r="AG27" s="113">
        <f t="shared" si="13"/>
        <v>0</v>
      </c>
      <c r="AH27" s="113">
        <f t="shared" si="13"/>
        <v>0</v>
      </c>
      <c r="AI27" s="113">
        <f t="shared" si="13"/>
        <v>0</v>
      </c>
      <c r="AJ27" s="113">
        <f t="shared" si="13"/>
        <v>0</v>
      </c>
      <c r="AK27" s="113">
        <f t="shared" si="13"/>
        <v>0</v>
      </c>
      <c r="AL27" s="113">
        <f t="shared" si="13"/>
        <v>0</v>
      </c>
      <c r="AM27" s="113">
        <f t="shared" si="13"/>
        <v>0</v>
      </c>
      <c r="AN27" s="113">
        <f t="shared" si="13"/>
        <v>0</v>
      </c>
      <c r="AO27" s="113">
        <f t="shared" si="13"/>
        <v>0</v>
      </c>
      <c r="AP27" s="113">
        <f t="shared" si="13"/>
        <v>0</v>
      </c>
      <c r="AQ27" s="114">
        <f t="shared" si="13"/>
        <v>0</v>
      </c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  <c r="BK27" s="119"/>
    </row>
    <row r="28" spans="2:63" ht="12.75" customHeight="1">
      <c r="B28" s="23"/>
      <c r="C28" s="24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4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19"/>
      <c r="BI28" s="119"/>
      <c r="BJ28" s="119"/>
      <c r="BK28" s="119"/>
    </row>
    <row r="29" spans="2:63" ht="12.75" customHeight="1">
      <c r="B29" s="23" t="s">
        <v>200</v>
      </c>
      <c r="C29" s="24" t="s">
        <v>195</v>
      </c>
      <c r="D29" s="113">
        <f t="shared" ref="D29:AQ29" si="14">D$11</f>
        <v>0</v>
      </c>
      <c r="E29" s="113">
        <f t="shared" si="14"/>
        <v>0</v>
      </c>
      <c r="F29" s="113">
        <f t="shared" si="14"/>
        <v>0</v>
      </c>
      <c r="G29" s="113">
        <f t="shared" si="14"/>
        <v>0</v>
      </c>
      <c r="H29" s="113">
        <f t="shared" si="14"/>
        <v>0</v>
      </c>
      <c r="I29" s="113">
        <f t="shared" si="14"/>
        <v>0</v>
      </c>
      <c r="J29" s="113">
        <f t="shared" si="14"/>
        <v>0</v>
      </c>
      <c r="K29" s="113">
        <f t="shared" si="14"/>
        <v>0</v>
      </c>
      <c r="L29" s="113">
        <f t="shared" si="14"/>
        <v>0</v>
      </c>
      <c r="M29" s="113">
        <f t="shared" si="14"/>
        <v>0</v>
      </c>
      <c r="N29" s="113">
        <f t="shared" si="14"/>
        <v>0</v>
      </c>
      <c r="O29" s="113">
        <f t="shared" si="14"/>
        <v>0</v>
      </c>
      <c r="P29" s="113">
        <f t="shared" si="14"/>
        <v>0</v>
      </c>
      <c r="Q29" s="113">
        <f t="shared" si="14"/>
        <v>0</v>
      </c>
      <c r="R29" s="113">
        <f t="shared" si="14"/>
        <v>0</v>
      </c>
      <c r="S29" s="113">
        <f t="shared" si="14"/>
        <v>0</v>
      </c>
      <c r="T29" s="113">
        <f t="shared" si="14"/>
        <v>0</v>
      </c>
      <c r="U29" s="113">
        <f t="shared" si="14"/>
        <v>0</v>
      </c>
      <c r="V29" s="113">
        <f t="shared" si="14"/>
        <v>0</v>
      </c>
      <c r="W29" s="113">
        <f t="shared" si="14"/>
        <v>0</v>
      </c>
      <c r="X29" s="113">
        <f t="shared" si="14"/>
        <v>0</v>
      </c>
      <c r="Y29" s="113">
        <f t="shared" si="14"/>
        <v>0</v>
      </c>
      <c r="Z29" s="113">
        <f t="shared" si="14"/>
        <v>0</v>
      </c>
      <c r="AA29" s="113">
        <f t="shared" si="14"/>
        <v>0</v>
      </c>
      <c r="AB29" s="113">
        <f t="shared" si="14"/>
        <v>0</v>
      </c>
      <c r="AC29" s="113">
        <f t="shared" si="14"/>
        <v>0</v>
      </c>
      <c r="AD29" s="113">
        <f t="shared" si="14"/>
        <v>0</v>
      </c>
      <c r="AE29" s="113">
        <f t="shared" si="14"/>
        <v>0</v>
      </c>
      <c r="AF29" s="113">
        <f t="shared" si="14"/>
        <v>0</v>
      </c>
      <c r="AG29" s="113">
        <f t="shared" si="14"/>
        <v>0</v>
      </c>
      <c r="AH29" s="113">
        <f t="shared" si="14"/>
        <v>0</v>
      </c>
      <c r="AI29" s="113">
        <f t="shared" si="14"/>
        <v>0</v>
      </c>
      <c r="AJ29" s="113">
        <f t="shared" si="14"/>
        <v>0</v>
      </c>
      <c r="AK29" s="113">
        <f t="shared" si="14"/>
        <v>0</v>
      </c>
      <c r="AL29" s="113">
        <f t="shared" si="14"/>
        <v>0</v>
      </c>
      <c r="AM29" s="113">
        <f t="shared" si="14"/>
        <v>0</v>
      </c>
      <c r="AN29" s="113">
        <f t="shared" si="14"/>
        <v>0</v>
      </c>
      <c r="AO29" s="113">
        <f t="shared" si="14"/>
        <v>0</v>
      </c>
      <c r="AP29" s="113">
        <f t="shared" si="14"/>
        <v>0</v>
      </c>
      <c r="AQ29" s="114">
        <f t="shared" si="14"/>
        <v>0</v>
      </c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19"/>
      <c r="BI29" s="119"/>
      <c r="BJ29" s="119"/>
      <c r="BK29" s="119"/>
    </row>
    <row r="30" spans="2:63" ht="12.75" customHeight="1">
      <c r="B30" s="23"/>
      <c r="C30" s="24" t="s">
        <v>196</v>
      </c>
      <c r="D30" s="113">
        <f t="shared" ref="D30:AQ30" si="15">D27*D$10/12</f>
        <v>0</v>
      </c>
      <c r="E30" s="113">
        <f t="shared" si="15"/>
        <v>0</v>
      </c>
      <c r="F30" s="113">
        <f t="shared" si="15"/>
        <v>0</v>
      </c>
      <c r="G30" s="113">
        <f t="shared" si="15"/>
        <v>0</v>
      </c>
      <c r="H30" s="113">
        <f t="shared" si="15"/>
        <v>0</v>
      </c>
      <c r="I30" s="113">
        <f t="shared" si="15"/>
        <v>0</v>
      </c>
      <c r="J30" s="113">
        <f t="shared" si="15"/>
        <v>0</v>
      </c>
      <c r="K30" s="113">
        <f t="shared" si="15"/>
        <v>0</v>
      </c>
      <c r="L30" s="113">
        <f t="shared" si="15"/>
        <v>0</v>
      </c>
      <c r="M30" s="113">
        <f t="shared" si="15"/>
        <v>0</v>
      </c>
      <c r="N30" s="113">
        <f t="shared" si="15"/>
        <v>0</v>
      </c>
      <c r="O30" s="113">
        <f t="shared" si="15"/>
        <v>0</v>
      </c>
      <c r="P30" s="113">
        <f t="shared" si="15"/>
        <v>0</v>
      </c>
      <c r="Q30" s="113">
        <f t="shared" si="15"/>
        <v>0</v>
      </c>
      <c r="R30" s="113">
        <f t="shared" si="15"/>
        <v>0</v>
      </c>
      <c r="S30" s="113">
        <f t="shared" si="15"/>
        <v>0</v>
      </c>
      <c r="T30" s="113">
        <f t="shared" si="15"/>
        <v>0</v>
      </c>
      <c r="U30" s="113">
        <f t="shared" si="15"/>
        <v>0</v>
      </c>
      <c r="V30" s="113">
        <f t="shared" si="15"/>
        <v>0</v>
      </c>
      <c r="W30" s="113">
        <f t="shared" si="15"/>
        <v>0</v>
      </c>
      <c r="X30" s="113">
        <f t="shared" si="15"/>
        <v>0</v>
      </c>
      <c r="Y30" s="113">
        <f t="shared" si="15"/>
        <v>0</v>
      </c>
      <c r="Z30" s="113">
        <f t="shared" si="15"/>
        <v>0</v>
      </c>
      <c r="AA30" s="113">
        <f t="shared" si="15"/>
        <v>0</v>
      </c>
      <c r="AB30" s="113">
        <f t="shared" si="15"/>
        <v>0</v>
      </c>
      <c r="AC30" s="113">
        <f t="shared" si="15"/>
        <v>0</v>
      </c>
      <c r="AD30" s="113">
        <f t="shared" si="15"/>
        <v>0</v>
      </c>
      <c r="AE30" s="113">
        <f t="shared" si="15"/>
        <v>0</v>
      </c>
      <c r="AF30" s="113">
        <f t="shared" si="15"/>
        <v>0</v>
      </c>
      <c r="AG30" s="113">
        <f t="shared" si="15"/>
        <v>0</v>
      </c>
      <c r="AH30" s="113">
        <f t="shared" si="15"/>
        <v>0</v>
      </c>
      <c r="AI30" s="113">
        <f t="shared" si="15"/>
        <v>0</v>
      </c>
      <c r="AJ30" s="113">
        <f t="shared" si="15"/>
        <v>0</v>
      </c>
      <c r="AK30" s="113">
        <f t="shared" si="15"/>
        <v>0</v>
      </c>
      <c r="AL30" s="113">
        <f t="shared" si="15"/>
        <v>0</v>
      </c>
      <c r="AM30" s="113">
        <f t="shared" si="15"/>
        <v>0</v>
      </c>
      <c r="AN30" s="113">
        <f t="shared" si="15"/>
        <v>0</v>
      </c>
      <c r="AO30" s="113">
        <f t="shared" si="15"/>
        <v>0</v>
      </c>
      <c r="AP30" s="113">
        <f t="shared" si="15"/>
        <v>0</v>
      </c>
      <c r="AQ30" s="114">
        <f t="shared" si="15"/>
        <v>0</v>
      </c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</row>
    <row r="31" spans="2:63" ht="12.75" customHeight="1">
      <c r="B31" s="23"/>
      <c r="C31" s="24" t="s">
        <v>197</v>
      </c>
      <c r="D31" s="113">
        <f t="shared" ref="D31:AQ31" si="16">D27-D29+D30</f>
        <v>0</v>
      </c>
      <c r="E31" s="113">
        <f t="shared" si="16"/>
        <v>0</v>
      </c>
      <c r="F31" s="113">
        <f t="shared" si="16"/>
        <v>0</v>
      </c>
      <c r="G31" s="113">
        <f t="shared" si="16"/>
        <v>0</v>
      </c>
      <c r="H31" s="113">
        <f t="shared" si="16"/>
        <v>0</v>
      </c>
      <c r="I31" s="113">
        <f t="shared" si="16"/>
        <v>0</v>
      </c>
      <c r="J31" s="113">
        <f t="shared" si="16"/>
        <v>0</v>
      </c>
      <c r="K31" s="113">
        <f t="shared" si="16"/>
        <v>0</v>
      </c>
      <c r="L31" s="113">
        <f t="shared" si="16"/>
        <v>0</v>
      </c>
      <c r="M31" s="113">
        <f t="shared" si="16"/>
        <v>0</v>
      </c>
      <c r="N31" s="113">
        <f t="shared" si="16"/>
        <v>0</v>
      </c>
      <c r="O31" s="113">
        <f t="shared" si="16"/>
        <v>0</v>
      </c>
      <c r="P31" s="113">
        <f t="shared" si="16"/>
        <v>0</v>
      </c>
      <c r="Q31" s="113">
        <f t="shared" si="16"/>
        <v>0</v>
      </c>
      <c r="R31" s="113">
        <f t="shared" si="16"/>
        <v>0</v>
      </c>
      <c r="S31" s="113">
        <f t="shared" si="16"/>
        <v>0</v>
      </c>
      <c r="T31" s="113">
        <f t="shared" si="16"/>
        <v>0</v>
      </c>
      <c r="U31" s="113">
        <f t="shared" si="16"/>
        <v>0</v>
      </c>
      <c r="V31" s="113">
        <f t="shared" si="16"/>
        <v>0</v>
      </c>
      <c r="W31" s="113">
        <f t="shared" si="16"/>
        <v>0</v>
      </c>
      <c r="X31" s="113">
        <f t="shared" si="16"/>
        <v>0</v>
      </c>
      <c r="Y31" s="113">
        <f t="shared" si="16"/>
        <v>0</v>
      </c>
      <c r="Z31" s="113">
        <f t="shared" si="16"/>
        <v>0</v>
      </c>
      <c r="AA31" s="113">
        <f t="shared" si="16"/>
        <v>0</v>
      </c>
      <c r="AB31" s="113">
        <f t="shared" si="16"/>
        <v>0</v>
      </c>
      <c r="AC31" s="113">
        <f t="shared" si="16"/>
        <v>0</v>
      </c>
      <c r="AD31" s="113">
        <f t="shared" si="16"/>
        <v>0</v>
      </c>
      <c r="AE31" s="113">
        <f t="shared" si="16"/>
        <v>0</v>
      </c>
      <c r="AF31" s="113">
        <f t="shared" si="16"/>
        <v>0</v>
      </c>
      <c r="AG31" s="113">
        <f t="shared" si="16"/>
        <v>0</v>
      </c>
      <c r="AH31" s="113">
        <f t="shared" si="16"/>
        <v>0</v>
      </c>
      <c r="AI31" s="113">
        <f t="shared" si="16"/>
        <v>0</v>
      </c>
      <c r="AJ31" s="113">
        <f t="shared" si="16"/>
        <v>0</v>
      </c>
      <c r="AK31" s="113">
        <f t="shared" si="16"/>
        <v>0</v>
      </c>
      <c r="AL31" s="113">
        <f t="shared" si="16"/>
        <v>0</v>
      </c>
      <c r="AM31" s="113">
        <f t="shared" si="16"/>
        <v>0</v>
      </c>
      <c r="AN31" s="113">
        <f t="shared" si="16"/>
        <v>0</v>
      </c>
      <c r="AO31" s="113">
        <f t="shared" si="16"/>
        <v>0</v>
      </c>
      <c r="AP31" s="113">
        <f t="shared" si="16"/>
        <v>0</v>
      </c>
      <c r="AQ31" s="114">
        <f t="shared" si="16"/>
        <v>0</v>
      </c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19"/>
      <c r="BI31" s="119"/>
      <c r="BJ31" s="119"/>
      <c r="BK31" s="119"/>
    </row>
    <row r="32" spans="2:63" ht="12.75" customHeight="1">
      <c r="B32" s="23"/>
      <c r="C32" s="24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4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</row>
    <row r="33" spans="2:63" ht="12.75" customHeight="1">
      <c r="B33" s="23" t="s">
        <v>201</v>
      </c>
      <c r="C33" s="24" t="s">
        <v>195</v>
      </c>
      <c r="D33" s="113">
        <f t="shared" ref="D33:AQ33" si="17">D$11</f>
        <v>0</v>
      </c>
      <c r="E33" s="113">
        <f t="shared" si="17"/>
        <v>0</v>
      </c>
      <c r="F33" s="113">
        <f t="shared" si="17"/>
        <v>0</v>
      </c>
      <c r="G33" s="113">
        <f t="shared" si="17"/>
        <v>0</v>
      </c>
      <c r="H33" s="113">
        <f t="shared" si="17"/>
        <v>0</v>
      </c>
      <c r="I33" s="113">
        <f t="shared" si="17"/>
        <v>0</v>
      </c>
      <c r="J33" s="113">
        <f t="shared" si="17"/>
        <v>0</v>
      </c>
      <c r="K33" s="113">
        <f t="shared" si="17"/>
        <v>0</v>
      </c>
      <c r="L33" s="113">
        <f t="shared" si="17"/>
        <v>0</v>
      </c>
      <c r="M33" s="113">
        <f t="shared" si="17"/>
        <v>0</v>
      </c>
      <c r="N33" s="113">
        <f t="shared" si="17"/>
        <v>0</v>
      </c>
      <c r="O33" s="113">
        <f t="shared" si="17"/>
        <v>0</v>
      </c>
      <c r="P33" s="113">
        <f t="shared" si="17"/>
        <v>0</v>
      </c>
      <c r="Q33" s="113">
        <f t="shared" si="17"/>
        <v>0</v>
      </c>
      <c r="R33" s="113">
        <f t="shared" si="17"/>
        <v>0</v>
      </c>
      <c r="S33" s="113">
        <f t="shared" si="17"/>
        <v>0</v>
      </c>
      <c r="T33" s="113">
        <f t="shared" si="17"/>
        <v>0</v>
      </c>
      <c r="U33" s="113">
        <f t="shared" si="17"/>
        <v>0</v>
      </c>
      <c r="V33" s="113">
        <f t="shared" si="17"/>
        <v>0</v>
      </c>
      <c r="W33" s="113">
        <f t="shared" si="17"/>
        <v>0</v>
      </c>
      <c r="X33" s="113">
        <f t="shared" si="17"/>
        <v>0</v>
      </c>
      <c r="Y33" s="113">
        <f t="shared" si="17"/>
        <v>0</v>
      </c>
      <c r="Z33" s="113">
        <f t="shared" si="17"/>
        <v>0</v>
      </c>
      <c r="AA33" s="113">
        <f t="shared" si="17"/>
        <v>0</v>
      </c>
      <c r="AB33" s="113">
        <f t="shared" si="17"/>
        <v>0</v>
      </c>
      <c r="AC33" s="113">
        <f t="shared" si="17"/>
        <v>0</v>
      </c>
      <c r="AD33" s="113">
        <f t="shared" si="17"/>
        <v>0</v>
      </c>
      <c r="AE33" s="113">
        <f t="shared" si="17"/>
        <v>0</v>
      </c>
      <c r="AF33" s="113">
        <f t="shared" si="17"/>
        <v>0</v>
      </c>
      <c r="AG33" s="113">
        <f t="shared" si="17"/>
        <v>0</v>
      </c>
      <c r="AH33" s="113">
        <f t="shared" si="17"/>
        <v>0</v>
      </c>
      <c r="AI33" s="113">
        <f t="shared" si="17"/>
        <v>0</v>
      </c>
      <c r="AJ33" s="113">
        <f t="shared" si="17"/>
        <v>0</v>
      </c>
      <c r="AK33" s="113">
        <f t="shared" si="17"/>
        <v>0</v>
      </c>
      <c r="AL33" s="113">
        <f t="shared" si="17"/>
        <v>0</v>
      </c>
      <c r="AM33" s="113">
        <f t="shared" si="17"/>
        <v>0</v>
      </c>
      <c r="AN33" s="113">
        <f t="shared" si="17"/>
        <v>0</v>
      </c>
      <c r="AO33" s="113">
        <f t="shared" si="17"/>
        <v>0</v>
      </c>
      <c r="AP33" s="113">
        <f t="shared" si="17"/>
        <v>0</v>
      </c>
      <c r="AQ33" s="114">
        <f t="shared" si="17"/>
        <v>0</v>
      </c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119"/>
      <c r="BG33" s="119"/>
      <c r="BH33" s="119"/>
      <c r="BI33" s="119"/>
      <c r="BJ33" s="119"/>
      <c r="BK33" s="119"/>
    </row>
    <row r="34" spans="2:63" ht="12.75" customHeight="1">
      <c r="B34" s="23"/>
      <c r="C34" s="24" t="s">
        <v>196</v>
      </c>
      <c r="D34" s="113">
        <f t="shared" ref="D34:AQ34" si="18">D31*D$10/12</f>
        <v>0</v>
      </c>
      <c r="E34" s="113">
        <f t="shared" si="18"/>
        <v>0</v>
      </c>
      <c r="F34" s="113">
        <f t="shared" si="18"/>
        <v>0</v>
      </c>
      <c r="G34" s="113">
        <f t="shared" si="18"/>
        <v>0</v>
      </c>
      <c r="H34" s="113">
        <f t="shared" si="18"/>
        <v>0</v>
      </c>
      <c r="I34" s="113">
        <f t="shared" si="18"/>
        <v>0</v>
      </c>
      <c r="J34" s="113">
        <f t="shared" si="18"/>
        <v>0</v>
      </c>
      <c r="K34" s="113">
        <f t="shared" si="18"/>
        <v>0</v>
      </c>
      <c r="L34" s="113">
        <f t="shared" si="18"/>
        <v>0</v>
      </c>
      <c r="M34" s="113">
        <f t="shared" si="18"/>
        <v>0</v>
      </c>
      <c r="N34" s="113">
        <f t="shared" si="18"/>
        <v>0</v>
      </c>
      <c r="O34" s="113">
        <f t="shared" si="18"/>
        <v>0</v>
      </c>
      <c r="P34" s="113">
        <f t="shared" si="18"/>
        <v>0</v>
      </c>
      <c r="Q34" s="113">
        <f t="shared" si="18"/>
        <v>0</v>
      </c>
      <c r="R34" s="113">
        <f t="shared" si="18"/>
        <v>0</v>
      </c>
      <c r="S34" s="113">
        <f t="shared" si="18"/>
        <v>0</v>
      </c>
      <c r="T34" s="113">
        <f t="shared" si="18"/>
        <v>0</v>
      </c>
      <c r="U34" s="113">
        <f t="shared" si="18"/>
        <v>0</v>
      </c>
      <c r="V34" s="113">
        <f t="shared" si="18"/>
        <v>0</v>
      </c>
      <c r="W34" s="113">
        <f t="shared" si="18"/>
        <v>0</v>
      </c>
      <c r="X34" s="113">
        <f t="shared" si="18"/>
        <v>0</v>
      </c>
      <c r="Y34" s="113">
        <f t="shared" si="18"/>
        <v>0</v>
      </c>
      <c r="Z34" s="113">
        <f t="shared" si="18"/>
        <v>0</v>
      </c>
      <c r="AA34" s="113">
        <f t="shared" si="18"/>
        <v>0</v>
      </c>
      <c r="AB34" s="113">
        <f t="shared" si="18"/>
        <v>0</v>
      </c>
      <c r="AC34" s="113">
        <f t="shared" si="18"/>
        <v>0</v>
      </c>
      <c r="AD34" s="113">
        <f t="shared" si="18"/>
        <v>0</v>
      </c>
      <c r="AE34" s="113">
        <f t="shared" si="18"/>
        <v>0</v>
      </c>
      <c r="AF34" s="113">
        <f t="shared" si="18"/>
        <v>0</v>
      </c>
      <c r="AG34" s="113">
        <f t="shared" si="18"/>
        <v>0</v>
      </c>
      <c r="AH34" s="113">
        <f t="shared" si="18"/>
        <v>0</v>
      </c>
      <c r="AI34" s="113">
        <f t="shared" si="18"/>
        <v>0</v>
      </c>
      <c r="AJ34" s="113">
        <f t="shared" si="18"/>
        <v>0</v>
      </c>
      <c r="AK34" s="113">
        <f t="shared" si="18"/>
        <v>0</v>
      </c>
      <c r="AL34" s="113">
        <f t="shared" si="18"/>
        <v>0</v>
      </c>
      <c r="AM34" s="113">
        <f t="shared" si="18"/>
        <v>0</v>
      </c>
      <c r="AN34" s="113">
        <f t="shared" si="18"/>
        <v>0</v>
      </c>
      <c r="AO34" s="113">
        <f t="shared" si="18"/>
        <v>0</v>
      </c>
      <c r="AP34" s="113">
        <f t="shared" si="18"/>
        <v>0</v>
      </c>
      <c r="AQ34" s="114">
        <f t="shared" si="18"/>
        <v>0</v>
      </c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</row>
    <row r="35" spans="2:63" ht="12.75" customHeight="1">
      <c r="B35" s="23"/>
      <c r="C35" s="24" t="s">
        <v>197</v>
      </c>
      <c r="D35" s="113">
        <f t="shared" ref="D35:AQ35" si="19">D31-D33+D34</f>
        <v>0</v>
      </c>
      <c r="E35" s="113">
        <f t="shared" si="19"/>
        <v>0</v>
      </c>
      <c r="F35" s="113">
        <f t="shared" si="19"/>
        <v>0</v>
      </c>
      <c r="G35" s="113">
        <f t="shared" si="19"/>
        <v>0</v>
      </c>
      <c r="H35" s="113">
        <f t="shared" si="19"/>
        <v>0</v>
      </c>
      <c r="I35" s="113">
        <f t="shared" si="19"/>
        <v>0</v>
      </c>
      <c r="J35" s="113">
        <f t="shared" si="19"/>
        <v>0</v>
      </c>
      <c r="K35" s="113">
        <f t="shared" si="19"/>
        <v>0</v>
      </c>
      <c r="L35" s="113">
        <f t="shared" si="19"/>
        <v>0</v>
      </c>
      <c r="M35" s="113">
        <f t="shared" si="19"/>
        <v>0</v>
      </c>
      <c r="N35" s="113">
        <f t="shared" si="19"/>
        <v>0</v>
      </c>
      <c r="O35" s="113">
        <f t="shared" si="19"/>
        <v>0</v>
      </c>
      <c r="P35" s="113">
        <f t="shared" si="19"/>
        <v>0</v>
      </c>
      <c r="Q35" s="113">
        <f t="shared" si="19"/>
        <v>0</v>
      </c>
      <c r="R35" s="113">
        <f t="shared" si="19"/>
        <v>0</v>
      </c>
      <c r="S35" s="113">
        <f t="shared" si="19"/>
        <v>0</v>
      </c>
      <c r="T35" s="113">
        <f t="shared" si="19"/>
        <v>0</v>
      </c>
      <c r="U35" s="113">
        <f t="shared" si="19"/>
        <v>0</v>
      </c>
      <c r="V35" s="113">
        <f t="shared" si="19"/>
        <v>0</v>
      </c>
      <c r="W35" s="113">
        <f t="shared" si="19"/>
        <v>0</v>
      </c>
      <c r="X35" s="113">
        <f t="shared" si="19"/>
        <v>0</v>
      </c>
      <c r="Y35" s="113">
        <f t="shared" si="19"/>
        <v>0</v>
      </c>
      <c r="Z35" s="113">
        <f t="shared" si="19"/>
        <v>0</v>
      </c>
      <c r="AA35" s="113">
        <f t="shared" si="19"/>
        <v>0</v>
      </c>
      <c r="AB35" s="113">
        <f t="shared" si="19"/>
        <v>0</v>
      </c>
      <c r="AC35" s="113">
        <f t="shared" si="19"/>
        <v>0</v>
      </c>
      <c r="AD35" s="113">
        <f t="shared" si="19"/>
        <v>0</v>
      </c>
      <c r="AE35" s="113">
        <f t="shared" si="19"/>
        <v>0</v>
      </c>
      <c r="AF35" s="113">
        <f t="shared" si="19"/>
        <v>0</v>
      </c>
      <c r="AG35" s="113">
        <f t="shared" si="19"/>
        <v>0</v>
      </c>
      <c r="AH35" s="113">
        <f t="shared" si="19"/>
        <v>0</v>
      </c>
      <c r="AI35" s="113">
        <f t="shared" si="19"/>
        <v>0</v>
      </c>
      <c r="AJ35" s="113">
        <f t="shared" si="19"/>
        <v>0</v>
      </c>
      <c r="AK35" s="113">
        <f t="shared" si="19"/>
        <v>0</v>
      </c>
      <c r="AL35" s="113">
        <f t="shared" si="19"/>
        <v>0</v>
      </c>
      <c r="AM35" s="113">
        <f t="shared" si="19"/>
        <v>0</v>
      </c>
      <c r="AN35" s="113">
        <f t="shared" si="19"/>
        <v>0</v>
      </c>
      <c r="AO35" s="113">
        <f t="shared" si="19"/>
        <v>0</v>
      </c>
      <c r="AP35" s="113">
        <f t="shared" si="19"/>
        <v>0</v>
      </c>
      <c r="AQ35" s="114">
        <f t="shared" si="19"/>
        <v>0</v>
      </c>
      <c r="AR35" s="119"/>
      <c r="AS35" s="119"/>
      <c r="AT35" s="119"/>
      <c r="AU35" s="119"/>
      <c r="AV35" s="119"/>
      <c r="AW35" s="119"/>
      <c r="AX35" s="119"/>
      <c r="AY35" s="119"/>
      <c r="AZ35" s="119"/>
      <c r="BA35" s="119"/>
      <c r="BB35" s="119"/>
      <c r="BC35" s="119"/>
      <c r="BD35" s="119"/>
      <c r="BE35" s="119"/>
      <c r="BF35" s="119"/>
      <c r="BG35" s="119"/>
      <c r="BH35" s="119"/>
      <c r="BI35" s="119"/>
      <c r="BJ35" s="119"/>
      <c r="BK35" s="119"/>
    </row>
    <row r="36" spans="2:63" ht="12.75" customHeight="1">
      <c r="B36" s="23"/>
      <c r="C36" s="24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4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</row>
    <row r="37" spans="2:63" ht="12.75" customHeight="1">
      <c r="B37" s="23" t="s">
        <v>202</v>
      </c>
      <c r="C37" s="24" t="s">
        <v>195</v>
      </c>
      <c r="D37" s="113">
        <f t="shared" ref="D37:AQ37" si="20">D$11</f>
        <v>0</v>
      </c>
      <c r="E37" s="113">
        <f t="shared" si="20"/>
        <v>0</v>
      </c>
      <c r="F37" s="113">
        <f t="shared" si="20"/>
        <v>0</v>
      </c>
      <c r="G37" s="113">
        <f t="shared" si="20"/>
        <v>0</v>
      </c>
      <c r="H37" s="113">
        <f t="shared" si="20"/>
        <v>0</v>
      </c>
      <c r="I37" s="113">
        <f t="shared" si="20"/>
        <v>0</v>
      </c>
      <c r="J37" s="113">
        <f t="shared" si="20"/>
        <v>0</v>
      </c>
      <c r="K37" s="113">
        <f t="shared" si="20"/>
        <v>0</v>
      </c>
      <c r="L37" s="113">
        <f t="shared" si="20"/>
        <v>0</v>
      </c>
      <c r="M37" s="113">
        <f t="shared" si="20"/>
        <v>0</v>
      </c>
      <c r="N37" s="113">
        <f t="shared" si="20"/>
        <v>0</v>
      </c>
      <c r="O37" s="113">
        <f t="shared" si="20"/>
        <v>0</v>
      </c>
      <c r="P37" s="113">
        <f t="shared" si="20"/>
        <v>0</v>
      </c>
      <c r="Q37" s="113">
        <f t="shared" si="20"/>
        <v>0</v>
      </c>
      <c r="R37" s="113">
        <f t="shared" si="20"/>
        <v>0</v>
      </c>
      <c r="S37" s="113">
        <f t="shared" si="20"/>
        <v>0</v>
      </c>
      <c r="T37" s="113">
        <f t="shared" si="20"/>
        <v>0</v>
      </c>
      <c r="U37" s="113">
        <f t="shared" si="20"/>
        <v>0</v>
      </c>
      <c r="V37" s="113">
        <f t="shared" si="20"/>
        <v>0</v>
      </c>
      <c r="W37" s="113">
        <f t="shared" si="20"/>
        <v>0</v>
      </c>
      <c r="X37" s="113">
        <f t="shared" si="20"/>
        <v>0</v>
      </c>
      <c r="Y37" s="113">
        <f t="shared" si="20"/>
        <v>0</v>
      </c>
      <c r="Z37" s="113">
        <f t="shared" si="20"/>
        <v>0</v>
      </c>
      <c r="AA37" s="113">
        <f t="shared" si="20"/>
        <v>0</v>
      </c>
      <c r="AB37" s="113">
        <f t="shared" si="20"/>
        <v>0</v>
      </c>
      <c r="AC37" s="113">
        <f t="shared" si="20"/>
        <v>0</v>
      </c>
      <c r="AD37" s="113">
        <f t="shared" si="20"/>
        <v>0</v>
      </c>
      <c r="AE37" s="113">
        <f t="shared" si="20"/>
        <v>0</v>
      </c>
      <c r="AF37" s="113">
        <f t="shared" si="20"/>
        <v>0</v>
      </c>
      <c r="AG37" s="113">
        <f t="shared" si="20"/>
        <v>0</v>
      </c>
      <c r="AH37" s="113">
        <f t="shared" si="20"/>
        <v>0</v>
      </c>
      <c r="AI37" s="113">
        <f t="shared" si="20"/>
        <v>0</v>
      </c>
      <c r="AJ37" s="113">
        <f t="shared" si="20"/>
        <v>0</v>
      </c>
      <c r="AK37" s="113">
        <f t="shared" si="20"/>
        <v>0</v>
      </c>
      <c r="AL37" s="113">
        <f t="shared" si="20"/>
        <v>0</v>
      </c>
      <c r="AM37" s="113">
        <f t="shared" si="20"/>
        <v>0</v>
      </c>
      <c r="AN37" s="113">
        <f t="shared" si="20"/>
        <v>0</v>
      </c>
      <c r="AO37" s="113">
        <f t="shared" si="20"/>
        <v>0</v>
      </c>
      <c r="AP37" s="113">
        <f t="shared" si="20"/>
        <v>0</v>
      </c>
      <c r="AQ37" s="114">
        <f t="shared" si="20"/>
        <v>0</v>
      </c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</row>
    <row r="38" spans="2:63" ht="12.75" customHeight="1">
      <c r="B38" s="23"/>
      <c r="C38" s="24" t="s">
        <v>196</v>
      </c>
      <c r="D38" s="113">
        <f t="shared" ref="D38:AQ38" si="21">D35*D$10/12</f>
        <v>0</v>
      </c>
      <c r="E38" s="113">
        <f t="shared" si="21"/>
        <v>0</v>
      </c>
      <c r="F38" s="113">
        <f t="shared" si="21"/>
        <v>0</v>
      </c>
      <c r="G38" s="113">
        <f t="shared" si="21"/>
        <v>0</v>
      </c>
      <c r="H38" s="113">
        <f t="shared" si="21"/>
        <v>0</v>
      </c>
      <c r="I38" s="113">
        <f t="shared" si="21"/>
        <v>0</v>
      </c>
      <c r="J38" s="113">
        <f t="shared" si="21"/>
        <v>0</v>
      </c>
      <c r="K38" s="113">
        <f t="shared" si="21"/>
        <v>0</v>
      </c>
      <c r="L38" s="113">
        <f t="shared" si="21"/>
        <v>0</v>
      </c>
      <c r="M38" s="113">
        <f t="shared" si="21"/>
        <v>0</v>
      </c>
      <c r="N38" s="113">
        <f t="shared" si="21"/>
        <v>0</v>
      </c>
      <c r="O38" s="113">
        <f t="shared" si="21"/>
        <v>0</v>
      </c>
      <c r="P38" s="113">
        <f t="shared" si="21"/>
        <v>0</v>
      </c>
      <c r="Q38" s="113">
        <f t="shared" si="21"/>
        <v>0</v>
      </c>
      <c r="R38" s="113">
        <f t="shared" si="21"/>
        <v>0</v>
      </c>
      <c r="S38" s="113">
        <f t="shared" si="21"/>
        <v>0</v>
      </c>
      <c r="T38" s="113">
        <f t="shared" si="21"/>
        <v>0</v>
      </c>
      <c r="U38" s="113">
        <f t="shared" si="21"/>
        <v>0</v>
      </c>
      <c r="V38" s="113">
        <f t="shared" si="21"/>
        <v>0</v>
      </c>
      <c r="W38" s="113">
        <f t="shared" si="21"/>
        <v>0</v>
      </c>
      <c r="X38" s="113">
        <f t="shared" si="21"/>
        <v>0</v>
      </c>
      <c r="Y38" s="113">
        <f t="shared" si="21"/>
        <v>0</v>
      </c>
      <c r="Z38" s="113">
        <f t="shared" si="21"/>
        <v>0</v>
      </c>
      <c r="AA38" s="113">
        <f t="shared" si="21"/>
        <v>0</v>
      </c>
      <c r="AB38" s="113">
        <f t="shared" si="21"/>
        <v>0</v>
      </c>
      <c r="AC38" s="113">
        <f t="shared" si="21"/>
        <v>0</v>
      </c>
      <c r="AD38" s="113">
        <f t="shared" si="21"/>
        <v>0</v>
      </c>
      <c r="AE38" s="113">
        <f t="shared" si="21"/>
        <v>0</v>
      </c>
      <c r="AF38" s="113">
        <f t="shared" si="21"/>
        <v>0</v>
      </c>
      <c r="AG38" s="113">
        <f t="shared" si="21"/>
        <v>0</v>
      </c>
      <c r="AH38" s="113">
        <f t="shared" si="21"/>
        <v>0</v>
      </c>
      <c r="AI38" s="113">
        <f t="shared" si="21"/>
        <v>0</v>
      </c>
      <c r="AJ38" s="113">
        <f t="shared" si="21"/>
        <v>0</v>
      </c>
      <c r="AK38" s="113">
        <f t="shared" si="21"/>
        <v>0</v>
      </c>
      <c r="AL38" s="113">
        <f t="shared" si="21"/>
        <v>0</v>
      </c>
      <c r="AM38" s="113">
        <f t="shared" si="21"/>
        <v>0</v>
      </c>
      <c r="AN38" s="113">
        <f t="shared" si="21"/>
        <v>0</v>
      </c>
      <c r="AO38" s="113">
        <f t="shared" si="21"/>
        <v>0</v>
      </c>
      <c r="AP38" s="113">
        <f t="shared" si="21"/>
        <v>0</v>
      </c>
      <c r="AQ38" s="114">
        <f t="shared" si="21"/>
        <v>0</v>
      </c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</row>
    <row r="39" spans="2:63" ht="12.75" customHeight="1">
      <c r="B39" s="23"/>
      <c r="C39" s="24" t="s">
        <v>197</v>
      </c>
      <c r="D39" s="113">
        <f t="shared" ref="D39:AQ39" si="22">D35-D37+D38</f>
        <v>0</v>
      </c>
      <c r="E39" s="113">
        <f t="shared" si="22"/>
        <v>0</v>
      </c>
      <c r="F39" s="113">
        <f t="shared" si="22"/>
        <v>0</v>
      </c>
      <c r="G39" s="113">
        <f t="shared" si="22"/>
        <v>0</v>
      </c>
      <c r="H39" s="113">
        <f t="shared" si="22"/>
        <v>0</v>
      </c>
      <c r="I39" s="113">
        <f t="shared" si="22"/>
        <v>0</v>
      </c>
      <c r="J39" s="113">
        <f t="shared" si="22"/>
        <v>0</v>
      </c>
      <c r="K39" s="113">
        <f t="shared" si="22"/>
        <v>0</v>
      </c>
      <c r="L39" s="113">
        <f t="shared" si="22"/>
        <v>0</v>
      </c>
      <c r="M39" s="113">
        <f t="shared" si="22"/>
        <v>0</v>
      </c>
      <c r="N39" s="113">
        <f t="shared" si="22"/>
        <v>0</v>
      </c>
      <c r="O39" s="113">
        <f t="shared" si="22"/>
        <v>0</v>
      </c>
      <c r="P39" s="113">
        <f t="shared" si="22"/>
        <v>0</v>
      </c>
      <c r="Q39" s="113">
        <f t="shared" si="22"/>
        <v>0</v>
      </c>
      <c r="R39" s="113">
        <f t="shared" si="22"/>
        <v>0</v>
      </c>
      <c r="S39" s="113">
        <f t="shared" si="22"/>
        <v>0</v>
      </c>
      <c r="T39" s="113">
        <f t="shared" si="22"/>
        <v>0</v>
      </c>
      <c r="U39" s="113">
        <f t="shared" si="22"/>
        <v>0</v>
      </c>
      <c r="V39" s="113">
        <f t="shared" si="22"/>
        <v>0</v>
      </c>
      <c r="W39" s="113">
        <f t="shared" si="22"/>
        <v>0</v>
      </c>
      <c r="X39" s="113">
        <f t="shared" si="22"/>
        <v>0</v>
      </c>
      <c r="Y39" s="113">
        <f t="shared" si="22"/>
        <v>0</v>
      </c>
      <c r="Z39" s="113">
        <f t="shared" si="22"/>
        <v>0</v>
      </c>
      <c r="AA39" s="113">
        <f t="shared" si="22"/>
        <v>0</v>
      </c>
      <c r="AB39" s="113">
        <f t="shared" si="22"/>
        <v>0</v>
      </c>
      <c r="AC39" s="113">
        <f t="shared" si="22"/>
        <v>0</v>
      </c>
      <c r="AD39" s="113">
        <f t="shared" si="22"/>
        <v>0</v>
      </c>
      <c r="AE39" s="113">
        <f t="shared" si="22"/>
        <v>0</v>
      </c>
      <c r="AF39" s="113">
        <f t="shared" si="22"/>
        <v>0</v>
      </c>
      <c r="AG39" s="113">
        <f t="shared" si="22"/>
        <v>0</v>
      </c>
      <c r="AH39" s="113">
        <f t="shared" si="22"/>
        <v>0</v>
      </c>
      <c r="AI39" s="113">
        <f t="shared" si="22"/>
        <v>0</v>
      </c>
      <c r="AJ39" s="113">
        <f t="shared" si="22"/>
        <v>0</v>
      </c>
      <c r="AK39" s="113">
        <f t="shared" si="22"/>
        <v>0</v>
      </c>
      <c r="AL39" s="113">
        <f t="shared" si="22"/>
        <v>0</v>
      </c>
      <c r="AM39" s="113">
        <f t="shared" si="22"/>
        <v>0</v>
      </c>
      <c r="AN39" s="113">
        <f t="shared" si="22"/>
        <v>0</v>
      </c>
      <c r="AO39" s="113">
        <f t="shared" si="22"/>
        <v>0</v>
      </c>
      <c r="AP39" s="113">
        <f t="shared" si="22"/>
        <v>0</v>
      </c>
      <c r="AQ39" s="114">
        <f t="shared" si="22"/>
        <v>0</v>
      </c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</row>
    <row r="40" spans="2:63" ht="12.75" customHeight="1">
      <c r="B40" s="23"/>
      <c r="C40" s="24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4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</row>
    <row r="41" spans="2:63" ht="12.75" customHeight="1">
      <c r="B41" s="23" t="s">
        <v>203</v>
      </c>
      <c r="C41" s="24" t="s">
        <v>195</v>
      </c>
      <c r="D41" s="113">
        <f t="shared" ref="D41:AQ41" si="23">D$11</f>
        <v>0</v>
      </c>
      <c r="E41" s="113">
        <f t="shared" si="23"/>
        <v>0</v>
      </c>
      <c r="F41" s="113">
        <f t="shared" si="23"/>
        <v>0</v>
      </c>
      <c r="G41" s="113">
        <f t="shared" si="23"/>
        <v>0</v>
      </c>
      <c r="H41" s="113">
        <f t="shared" si="23"/>
        <v>0</v>
      </c>
      <c r="I41" s="113">
        <f t="shared" si="23"/>
        <v>0</v>
      </c>
      <c r="J41" s="113">
        <f t="shared" si="23"/>
        <v>0</v>
      </c>
      <c r="K41" s="113">
        <f t="shared" si="23"/>
        <v>0</v>
      </c>
      <c r="L41" s="113">
        <f t="shared" si="23"/>
        <v>0</v>
      </c>
      <c r="M41" s="113">
        <f t="shared" si="23"/>
        <v>0</v>
      </c>
      <c r="N41" s="113">
        <f t="shared" si="23"/>
        <v>0</v>
      </c>
      <c r="O41" s="113">
        <f t="shared" si="23"/>
        <v>0</v>
      </c>
      <c r="P41" s="113">
        <f t="shared" si="23"/>
        <v>0</v>
      </c>
      <c r="Q41" s="113">
        <f t="shared" si="23"/>
        <v>0</v>
      </c>
      <c r="R41" s="113">
        <f t="shared" si="23"/>
        <v>0</v>
      </c>
      <c r="S41" s="113">
        <f t="shared" si="23"/>
        <v>0</v>
      </c>
      <c r="T41" s="113">
        <f t="shared" si="23"/>
        <v>0</v>
      </c>
      <c r="U41" s="113">
        <f t="shared" si="23"/>
        <v>0</v>
      </c>
      <c r="V41" s="113">
        <f t="shared" si="23"/>
        <v>0</v>
      </c>
      <c r="W41" s="113">
        <f t="shared" si="23"/>
        <v>0</v>
      </c>
      <c r="X41" s="113">
        <f t="shared" si="23"/>
        <v>0</v>
      </c>
      <c r="Y41" s="113">
        <f t="shared" si="23"/>
        <v>0</v>
      </c>
      <c r="Z41" s="113">
        <f t="shared" si="23"/>
        <v>0</v>
      </c>
      <c r="AA41" s="113">
        <f t="shared" si="23"/>
        <v>0</v>
      </c>
      <c r="AB41" s="113">
        <f t="shared" si="23"/>
        <v>0</v>
      </c>
      <c r="AC41" s="113">
        <f t="shared" si="23"/>
        <v>0</v>
      </c>
      <c r="AD41" s="113">
        <f t="shared" si="23"/>
        <v>0</v>
      </c>
      <c r="AE41" s="113">
        <f t="shared" si="23"/>
        <v>0</v>
      </c>
      <c r="AF41" s="113">
        <f t="shared" si="23"/>
        <v>0</v>
      </c>
      <c r="AG41" s="113">
        <f t="shared" si="23"/>
        <v>0</v>
      </c>
      <c r="AH41" s="113">
        <f t="shared" si="23"/>
        <v>0</v>
      </c>
      <c r="AI41" s="113">
        <f t="shared" si="23"/>
        <v>0</v>
      </c>
      <c r="AJ41" s="113">
        <f t="shared" si="23"/>
        <v>0</v>
      </c>
      <c r="AK41" s="113">
        <f t="shared" si="23"/>
        <v>0</v>
      </c>
      <c r="AL41" s="113">
        <f t="shared" si="23"/>
        <v>0</v>
      </c>
      <c r="AM41" s="113">
        <f t="shared" si="23"/>
        <v>0</v>
      </c>
      <c r="AN41" s="113">
        <f t="shared" si="23"/>
        <v>0</v>
      </c>
      <c r="AO41" s="113">
        <f t="shared" si="23"/>
        <v>0</v>
      </c>
      <c r="AP41" s="113">
        <f t="shared" si="23"/>
        <v>0</v>
      </c>
      <c r="AQ41" s="114">
        <f t="shared" si="23"/>
        <v>0</v>
      </c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</row>
    <row r="42" spans="2:63" ht="12.75" customHeight="1">
      <c r="B42" s="23"/>
      <c r="C42" s="24" t="s">
        <v>196</v>
      </c>
      <c r="D42" s="113">
        <f t="shared" ref="D42:AQ42" si="24">D39*D$10/12</f>
        <v>0</v>
      </c>
      <c r="E42" s="113">
        <f t="shared" si="24"/>
        <v>0</v>
      </c>
      <c r="F42" s="113">
        <f t="shared" si="24"/>
        <v>0</v>
      </c>
      <c r="G42" s="113">
        <f t="shared" si="24"/>
        <v>0</v>
      </c>
      <c r="H42" s="113">
        <f t="shared" si="24"/>
        <v>0</v>
      </c>
      <c r="I42" s="113">
        <f t="shared" si="24"/>
        <v>0</v>
      </c>
      <c r="J42" s="113">
        <f t="shared" si="24"/>
        <v>0</v>
      </c>
      <c r="K42" s="113">
        <f t="shared" si="24"/>
        <v>0</v>
      </c>
      <c r="L42" s="113">
        <f t="shared" si="24"/>
        <v>0</v>
      </c>
      <c r="M42" s="113">
        <f t="shared" si="24"/>
        <v>0</v>
      </c>
      <c r="N42" s="113">
        <f t="shared" si="24"/>
        <v>0</v>
      </c>
      <c r="O42" s="113">
        <f t="shared" si="24"/>
        <v>0</v>
      </c>
      <c r="P42" s="113">
        <f t="shared" si="24"/>
        <v>0</v>
      </c>
      <c r="Q42" s="113">
        <f t="shared" si="24"/>
        <v>0</v>
      </c>
      <c r="R42" s="113">
        <f t="shared" si="24"/>
        <v>0</v>
      </c>
      <c r="S42" s="113">
        <f t="shared" si="24"/>
        <v>0</v>
      </c>
      <c r="T42" s="113">
        <f t="shared" si="24"/>
        <v>0</v>
      </c>
      <c r="U42" s="113">
        <f t="shared" si="24"/>
        <v>0</v>
      </c>
      <c r="V42" s="113">
        <f t="shared" si="24"/>
        <v>0</v>
      </c>
      <c r="W42" s="113">
        <f t="shared" si="24"/>
        <v>0</v>
      </c>
      <c r="X42" s="113">
        <f t="shared" si="24"/>
        <v>0</v>
      </c>
      <c r="Y42" s="113">
        <f t="shared" si="24"/>
        <v>0</v>
      </c>
      <c r="Z42" s="113">
        <f t="shared" si="24"/>
        <v>0</v>
      </c>
      <c r="AA42" s="113">
        <f t="shared" si="24"/>
        <v>0</v>
      </c>
      <c r="AB42" s="113">
        <f t="shared" si="24"/>
        <v>0</v>
      </c>
      <c r="AC42" s="113">
        <f t="shared" si="24"/>
        <v>0</v>
      </c>
      <c r="AD42" s="113">
        <f t="shared" si="24"/>
        <v>0</v>
      </c>
      <c r="AE42" s="113">
        <f t="shared" si="24"/>
        <v>0</v>
      </c>
      <c r="AF42" s="113">
        <f t="shared" si="24"/>
        <v>0</v>
      </c>
      <c r="AG42" s="113">
        <f t="shared" si="24"/>
        <v>0</v>
      </c>
      <c r="AH42" s="113">
        <f t="shared" si="24"/>
        <v>0</v>
      </c>
      <c r="AI42" s="113">
        <f t="shared" si="24"/>
        <v>0</v>
      </c>
      <c r="AJ42" s="113">
        <f t="shared" si="24"/>
        <v>0</v>
      </c>
      <c r="AK42" s="113">
        <f t="shared" si="24"/>
        <v>0</v>
      </c>
      <c r="AL42" s="113">
        <f t="shared" si="24"/>
        <v>0</v>
      </c>
      <c r="AM42" s="113">
        <f t="shared" si="24"/>
        <v>0</v>
      </c>
      <c r="AN42" s="113">
        <f t="shared" si="24"/>
        <v>0</v>
      </c>
      <c r="AO42" s="113">
        <f t="shared" si="24"/>
        <v>0</v>
      </c>
      <c r="AP42" s="113">
        <f t="shared" si="24"/>
        <v>0</v>
      </c>
      <c r="AQ42" s="114">
        <f t="shared" si="24"/>
        <v>0</v>
      </c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</row>
    <row r="43" spans="2:63" ht="12.75" customHeight="1">
      <c r="B43" s="23"/>
      <c r="C43" s="24" t="s">
        <v>197</v>
      </c>
      <c r="D43" s="113">
        <f t="shared" ref="D43:AQ43" si="25">D39-D41+D42</f>
        <v>0</v>
      </c>
      <c r="E43" s="113">
        <f t="shared" si="25"/>
        <v>0</v>
      </c>
      <c r="F43" s="113">
        <f t="shared" si="25"/>
        <v>0</v>
      </c>
      <c r="G43" s="113">
        <f t="shared" si="25"/>
        <v>0</v>
      </c>
      <c r="H43" s="113">
        <f t="shared" si="25"/>
        <v>0</v>
      </c>
      <c r="I43" s="113">
        <f t="shared" si="25"/>
        <v>0</v>
      </c>
      <c r="J43" s="113">
        <f t="shared" si="25"/>
        <v>0</v>
      </c>
      <c r="K43" s="113">
        <f t="shared" si="25"/>
        <v>0</v>
      </c>
      <c r="L43" s="113">
        <f t="shared" si="25"/>
        <v>0</v>
      </c>
      <c r="M43" s="113">
        <f t="shared" si="25"/>
        <v>0</v>
      </c>
      <c r="N43" s="113">
        <f t="shared" si="25"/>
        <v>0</v>
      </c>
      <c r="O43" s="113">
        <f t="shared" si="25"/>
        <v>0</v>
      </c>
      <c r="P43" s="113">
        <f t="shared" si="25"/>
        <v>0</v>
      </c>
      <c r="Q43" s="113">
        <f t="shared" si="25"/>
        <v>0</v>
      </c>
      <c r="R43" s="113">
        <f t="shared" si="25"/>
        <v>0</v>
      </c>
      <c r="S43" s="113">
        <f t="shared" si="25"/>
        <v>0</v>
      </c>
      <c r="T43" s="113">
        <f t="shared" si="25"/>
        <v>0</v>
      </c>
      <c r="U43" s="113">
        <f t="shared" si="25"/>
        <v>0</v>
      </c>
      <c r="V43" s="113">
        <f t="shared" si="25"/>
        <v>0</v>
      </c>
      <c r="W43" s="113">
        <f t="shared" si="25"/>
        <v>0</v>
      </c>
      <c r="X43" s="113">
        <f t="shared" si="25"/>
        <v>0</v>
      </c>
      <c r="Y43" s="113">
        <f t="shared" si="25"/>
        <v>0</v>
      </c>
      <c r="Z43" s="113">
        <f t="shared" si="25"/>
        <v>0</v>
      </c>
      <c r="AA43" s="113">
        <f t="shared" si="25"/>
        <v>0</v>
      </c>
      <c r="AB43" s="113">
        <f t="shared" si="25"/>
        <v>0</v>
      </c>
      <c r="AC43" s="113">
        <f t="shared" si="25"/>
        <v>0</v>
      </c>
      <c r="AD43" s="113">
        <f t="shared" si="25"/>
        <v>0</v>
      </c>
      <c r="AE43" s="113">
        <f t="shared" si="25"/>
        <v>0</v>
      </c>
      <c r="AF43" s="113">
        <f t="shared" si="25"/>
        <v>0</v>
      </c>
      <c r="AG43" s="113">
        <f t="shared" si="25"/>
        <v>0</v>
      </c>
      <c r="AH43" s="113">
        <f t="shared" si="25"/>
        <v>0</v>
      </c>
      <c r="AI43" s="113">
        <f t="shared" si="25"/>
        <v>0</v>
      </c>
      <c r="AJ43" s="113">
        <f t="shared" si="25"/>
        <v>0</v>
      </c>
      <c r="AK43" s="113">
        <f t="shared" si="25"/>
        <v>0</v>
      </c>
      <c r="AL43" s="113">
        <f t="shared" si="25"/>
        <v>0</v>
      </c>
      <c r="AM43" s="113">
        <f t="shared" si="25"/>
        <v>0</v>
      </c>
      <c r="AN43" s="113">
        <f t="shared" si="25"/>
        <v>0</v>
      </c>
      <c r="AO43" s="113">
        <f t="shared" si="25"/>
        <v>0</v>
      </c>
      <c r="AP43" s="113">
        <f t="shared" si="25"/>
        <v>0</v>
      </c>
      <c r="AQ43" s="114">
        <f t="shared" si="25"/>
        <v>0</v>
      </c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</row>
    <row r="44" spans="2:63" ht="12.75" customHeight="1">
      <c r="B44" s="23"/>
      <c r="C44" s="24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4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</row>
    <row r="45" spans="2:63" ht="12.75" customHeight="1">
      <c r="B45" s="23" t="s">
        <v>204</v>
      </c>
      <c r="C45" s="24" t="s">
        <v>195</v>
      </c>
      <c r="D45" s="113">
        <f t="shared" ref="D45:AQ45" si="26">D$11</f>
        <v>0</v>
      </c>
      <c r="E45" s="113">
        <f t="shared" si="26"/>
        <v>0</v>
      </c>
      <c r="F45" s="113">
        <f t="shared" si="26"/>
        <v>0</v>
      </c>
      <c r="G45" s="113">
        <f t="shared" si="26"/>
        <v>0</v>
      </c>
      <c r="H45" s="113">
        <f t="shared" si="26"/>
        <v>0</v>
      </c>
      <c r="I45" s="113">
        <f t="shared" si="26"/>
        <v>0</v>
      </c>
      <c r="J45" s="113">
        <f t="shared" si="26"/>
        <v>0</v>
      </c>
      <c r="K45" s="113">
        <f t="shared" si="26"/>
        <v>0</v>
      </c>
      <c r="L45" s="113">
        <f t="shared" si="26"/>
        <v>0</v>
      </c>
      <c r="M45" s="113">
        <f t="shared" si="26"/>
        <v>0</v>
      </c>
      <c r="N45" s="113">
        <f t="shared" si="26"/>
        <v>0</v>
      </c>
      <c r="O45" s="113">
        <f t="shared" si="26"/>
        <v>0</v>
      </c>
      <c r="P45" s="113">
        <f t="shared" si="26"/>
        <v>0</v>
      </c>
      <c r="Q45" s="113">
        <f t="shared" si="26"/>
        <v>0</v>
      </c>
      <c r="R45" s="113">
        <f t="shared" si="26"/>
        <v>0</v>
      </c>
      <c r="S45" s="113">
        <f t="shared" si="26"/>
        <v>0</v>
      </c>
      <c r="T45" s="113">
        <f t="shared" si="26"/>
        <v>0</v>
      </c>
      <c r="U45" s="113">
        <f t="shared" si="26"/>
        <v>0</v>
      </c>
      <c r="V45" s="113">
        <f t="shared" si="26"/>
        <v>0</v>
      </c>
      <c r="W45" s="113">
        <f t="shared" si="26"/>
        <v>0</v>
      </c>
      <c r="X45" s="113">
        <f t="shared" si="26"/>
        <v>0</v>
      </c>
      <c r="Y45" s="113">
        <f t="shared" si="26"/>
        <v>0</v>
      </c>
      <c r="Z45" s="113">
        <f t="shared" si="26"/>
        <v>0</v>
      </c>
      <c r="AA45" s="113">
        <f t="shared" si="26"/>
        <v>0</v>
      </c>
      <c r="AB45" s="113">
        <f t="shared" si="26"/>
        <v>0</v>
      </c>
      <c r="AC45" s="113">
        <f t="shared" si="26"/>
        <v>0</v>
      </c>
      <c r="AD45" s="113">
        <f t="shared" si="26"/>
        <v>0</v>
      </c>
      <c r="AE45" s="113">
        <f t="shared" si="26"/>
        <v>0</v>
      </c>
      <c r="AF45" s="113">
        <f t="shared" si="26"/>
        <v>0</v>
      </c>
      <c r="AG45" s="113">
        <f t="shared" si="26"/>
        <v>0</v>
      </c>
      <c r="AH45" s="113">
        <f t="shared" si="26"/>
        <v>0</v>
      </c>
      <c r="AI45" s="113">
        <f t="shared" si="26"/>
        <v>0</v>
      </c>
      <c r="AJ45" s="113">
        <f t="shared" si="26"/>
        <v>0</v>
      </c>
      <c r="AK45" s="113">
        <f t="shared" si="26"/>
        <v>0</v>
      </c>
      <c r="AL45" s="113">
        <f t="shared" si="26"/>
        <v>0</v>
      </c>
      <c r="AM45" s="113">
        <f t="shared" si="26"/>
        <v>0</v>
      </c>
      <c r="AN45" s="113">
        <f t="shared" si="26"/>
        <v>0</v>
      </c>
      <c r="AO45" s="113">
        <f t="shared" si="26"/>
        <v>0</v>
      </c>
      <c r="AP45" s="113">
        <f t="shared" si="26"/>
        <v>0</v>
      </c>
      <c r="AQ45" s="114">
        <f t="shared" si="26"/>
        <v>0</v>
      </c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  <c r="BK45" s="119"/>
    </row>
    <row r="46" spans="2:63" ht="12.75" customHeight="1">
      <c r="B46" s="23"/>
      <c r="C46" s="24" t="s">
        <v>196</v>
      </c>
      <c r="D46" s="113">
        <f t="shared" ref="D46:AQ46" si="27">D43*D$10/12</f>
        <v>0</v>
      </c>
      <c r="E46" s="113">
        <f t="shared" si="27"/>
        <v>0</v>
      </c>
      <c r="F46" s="113">
        <f t="shared" si="27"/>
        <v>0</v>
      </c>
      <c r="G46" s="113">
        <f t="shared" si="27"/>
        <v>0</v>
      </c>
      <c r="H46" s="113">
        <f t="shared" si="27"/>
        <v>0</v>
      </c>
      <c r="I46" s="113">
        <f t="shared" si="27"/>
        <v>0</v>
      </c>
      <c r="J46" s="113">
        <f t="shared" si="27"/>
        <v>0</v>
      </c>
      <c r="K46" s="113">
        <f t="shared" si="27"/>
        <v>0</v>
      </c>
      <c r="L46" s="113">
        <f t="shared" si="27"/>
        <v>0</v>
      </c>
      <c r="M46" s="113">
        <f t="shared" si="27"/>
        <v>0</v>
      </c>
      <c r="N46" s="113">
        <f t="shared" si="27"/>
        <v>0</v>
      </c>
      <c r="O46" s="113">
        <f t="shared" si="27"/>
        <v>0</v>
      </c>
      <c r="P46" s="113">
        <f t="shared" si="27"/>
        <v>0</v>
      </c>
      <c r="Q46" s="113">
        <f t="shared" si="27"/>
        <v>0</v>
      </c>
      <c r="R46" s="113">
        <f t="shared" si="27"/>
        <v>0</v>
      </c>
      <c r="S46" s="113">
        <f t="shared" si="27"/>
        <v>0</v>
      </c>
      <c r="T46" s="113">
        <f t="shared" si="27"/>
        <v>0</v>
      </c>
      <c r="U46" s="113">
        <f t="shared" si="27"/>
        <v>0</v>
      </c>
      <c r="V46" s="113">
        <f t="shared" si="27"/>
        <v>0</v>
      </c>
      <c r="W46" s="113">
        <f t="shared" si="27"/>
        <v>0</v>
      </c>
      <c r="X46" s="113">
        <f t="shared" si="27"/>
        <v>0</v>
      </c>
      <c r="Y46" s="113">
        <f t="shared" si="27"/>
        <v>0</v>
      </c>
      <c r="Z46" s="113">
        <f t="shared" si="27"/>
        <v>0</v>
      </c>
      <c r="AA46" s="113">
        <f t="shared" si="27"/>
        <v>0</v>
      </c>
      <c r="AB46" s="113">
        <f t="shared" si="27"/>
        <v>0</v>
      </c>
      <c r="AC46" s="113">
        <f t="shared" si="27"/>
        <v>0</v>
      </c>
      <c r="AD46" s="113">
        <f t="shared" si="27"/>
        <v>0</v>
      </c>
      <c r="AE46" s="113">
        <f t="shared" si="27"/>
        <v>0</v>
      </c>
      <c r="AF46" s="113">
        <f t="shared" si="27"/>
        <v>0</v>
      </c>
      <c r="AG46" s="113">
        <f t="shared" si="27"/>
        <v>0</v>
      </c>
      <c r="AH46" s="113">
        <f t="shared" si="27"/>
        <v>0</v>
      </c>
      <c r="AI46" s="113">
        <f t="shared" si="27"/>
        <v>0</v>
      </c>
      <c r="AJ46" s="113">
        <f t="shared" si="27"/>
        <v>0</v>
      </c>
      <c r="AK46" s="113">
        <f t="shared" si="27"/>
        <v>0</v>
      </c>
      <c r="AL46" s="113">
        <f t="shared" si="27"/>
        <v>0</v>
      </c>
      <c r="AM46" s="113">
        <f t="shared" si="27"/>
        <v>0</v>
      </c>
      <c r="AN46" s="113">
        <f t="shared" si="27"/>
        <v>0</v>
      </c>
      <c r="AO46" s="113">
        <f t="shared" si="27"/>
        <v>0</v>
      </c>
      <c r="AP46" s="113">
        <f t="shared" si="27"/>
        <v>0</v>
      </c>
      <c r="AQ46" s="114">
        <f t="shared" si="27"/>
        <v>0</v>
      </c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</row>
    <row r="47" spans="2:63" ht="12.75" customHeight="1">
      <c r="B47" s="23"/>
      <c r="C47" s="24" t="s">
        <v>197</v>
      </c>
      <c r="D47" s="113">
        <f t="shared" ref="D47:AQ47" si="28">D43-D45+D46</f>
        <v>0</v>
      </c>
      <c r="E47" s="113">
        <f t="shared" si="28"/>
        <v>0</v>
      </c>
      <c r="F47" s="113">
        <f t="shared" si="28"/>
        <v>0</v>
      </c>
      <c r="G47" s="113">
        <f t="shared" si="28"/>
        <v>0</v>
      </c>
      <c r="H47" s="113">
        <f t="shared" si="28"/>
        <v>0</v>
      </c>
      <c r="I47" s="113">
        <f t="shared" si="28"/>
        <v>0</v>
      </c>
      <c r="J47" s="113">
        <f t="shared" si="28"/>
        <v>0</v>
      </c>
      <c r="K47" s="113">
        <f t="shared" si="28"/>
        <v>0</v>
      </c>
      <c r="L47" s="113">
        <f t="shared" si="28"/>
        <v>0</v>
      </c>
      <c r="M47" s="113">
        <f t="shared" si="28"/>
        <v>0</v>
      </c>
      <c r="N47" s="113">
        <f t="shared" si="28"/>
        <v>0</v>
      </c>
      <c r="O47" s="113">
        <f t="shared" si="28"/>
        <v>0</v>
      </c>
      <c r="P47" s="113">
        <f t="shared" si="28"/>
        <v>0</v>
      </c>
      <c r="Q47" s="113">
        <f t="shared" si="28"/>
        <v>0</v>
      </c>
      <c r="R47" s="113">
        <f t="shared" si="28"/>
        <v>0</v>
      </c>
      <c r="S47" s="113">
        <f t="shared" si="28"/>
        <v>0</v>
      </c>
      <c r="T47" s="113">
        <f t="shared" si="28"/>
        <v>0</v>
      </c>
      <c r="U47" s="113">
        <f t="shared" si="28"/>
        <v>0</v>
      </c>
      <c r="V47" s="113">
        <f t="shared" si="28"/>
        <v>0</v>
      </c>
      <c r="W47" s="113">
        <f t="shared" si="28"/>
        <v>0</v>
      </c>
      <c r="X47" s="113">
        <f t="shared" si="28"/>
        <v>0</v>
      </c>
      <c r="Y47" s="113">
        <f t="shared" si="28"/>
        <v>0</v>
      </c>
      <c r="Z47" s="113">
        <f t="shared" si="28"/>
        <v>0</v>
      </c>
      <c r="AA47" s="113">
        <f t="shared" si="28"/>
        <v>0</v>
      </c>
      <c r="AB47" s="113">
        <f t="shared" si="28"/>
        <v>0</v>
      </c>
      <c r="AC47" s="113">
        <f t="shared" si="28"/>
        <v>0</v>
      </c>
      <c r="AD47" s="113">
        <f t="shared" si="28"/>
        <v>0</v>
      </c>
      <c r="AE47" s="113">
        <f t="shared" si="28"/>
        <v>0</v>
      </c>
      <c r="AF47" s="113">
        <f t="shared" si="28"/>
        <v>0</v>
      </c>
      <c r="AG47" s="113">
        <f t="shared" si="28"/>
        <v>0</v>
      </c>
      <c r="AH47" s="113">
        <f t="shared" si="28"/>
        <v>0</v>
      </c>
      <c r="AI47" s="113">
        <f t="shared" si="28"/>
        <v>0</v>
      </c>
      <c r="AJ47" s="113">
        <f t="shared" si="28"/>
        <v>0</v>
      </c>
      <c r="AK47" s="113">
        <f t="shared" si="28"/>
        <v>0</v>
      </c>
      <c r="AL47" s="113">
        <f t="shared" si="28"/>
        <v>0</v>
      </c>
      <c r="AM47" s="113">
        <f t="shared" si="28"/>
        <v>0</v>
      </c>
      <c r="AN47" s="113">
        <f t="shared" si="28"/>
        <v>0</v>
      </c>
      <c r="AO47" s="113">
        <f t="shared" si="28"/>
        <v>0</v>
      </c>
      <c r="AP47" s="113">
        <f t="shared" si="28"/>
        <v>0</v>
      </c>
      <c r="AQ47" s="114">
        <f t="shared" si="28"/>
        <v>0</v>
      </c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</row>
    <row r="48" spans="2:63" ht="12.75" customHeight="1">
      <c r="B48" s="23"/>
      <c r="C48" s="24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4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  <c r="BK48" s="119"/>
    </row>
    <row r="49" spans="2:63" ht="12.75" customHeight="1">
      <c r="B49" s="23" t="s">
        <v>205</v>
      </c>
      <c r="C49" s="24" t="s">
        <v>195</v>
      </c>
      <c r="D49" s="113">
        <f t="shared" ref="D49:AQ49" si="29">D$11</f>
        <v>0</v>
      </c>
      <c r="E49" s="113">
        <f t="shared" si="29"/>
        <v>0</v>
      </c>
      <c r="F49" s="113">
        <f t="shared" si="29"/>
        <v>0</v>
      </c>
      <c r="G49" s="113">
        <f t="shared" si="29"/>
        <v>0</v>
      </c>
      <c r="H49" s="113">
        <f t="shared" si="29"/>
        <v>0</v>
      </c>
      <c r="I49" s="113">
        <f t="shared" si="29"/>
        <v>0</v>
      </c>
      <c r="J49" s="113">
        <f t="shared" si="29"/>
        <v>0</v>
      </c>
      <c r="K49" s="113">
        <f t="shared" si="29"/>
        <v>0</v>
      </c>
      <c r="L49" s="113">
        <f t="shared" si="29"/>
        <v>0</v>
      </c>
      <c r="M49" s="113">
        <f t="shared" si="29"/>
        <v>0</v>
      </c>
      <c r="N49" s="113">
        <f t="shared" si="29"/>
        <v>0</v>
      </c>
      <c r="O49" s="113">
        <f t="shared" si="29"/>
        <v>0</v>
      </c>
      <c r="P49" s="113">
        <f t="shared" si="29"/>
        <v>0</v>
      </c>
      <c r="Q49" s="113">
        <f t="shared" si="29"/>
        <v>0</v>
      </c>
      <c r="R49" s="113">
        <f t="shared" si="29"/>
        <v>0</v>
      </c>
      <c r="S49" s="113">
        <f t="shared" si="29"/>
        <v>0</v>
      </c>
      <c r="T49" s="113">
        <f t="shared" si="29"/>
        <v>0</v>
      </c>
      <c r="U49" s="113">
        <f t="shared" si="29"/>
        <v>0</v>
      </c>
      <c r="V49" s="113">
        <f t="shared" si="29"/>
        <v>0</v>
      </c>
      <c r="W49" s="113">
        <f t="shared" si="29"/>
        <v>0</v>
      </c>
      <c r="X49" s="113">
        <f t="shared" si="29"/>
        <v>0</v>
      </c>
      <c r="Y49" s="113">
        <f t="shared" si="29"/>
        <v>0</v>
      </c>
      <c r="Z49" s="113">
        <f t="shared" si="29"/>
        <v>0</v>
      </c>
      <c r="AA49" s="113">
        <f t="shared" si="29"/>
        <v>0</v>
      </c>
      <c r="AB49" s="113">
        <f t="shared" si="29"/>
        <v>0</v>
      </c>
      <c r="AC49" s="113">
        <f t="shared" si="29"/>
        <v>0</v>
      </c>
      <c r="AD49" s="113">
        <f t="shared" si="29"/>
        <v>0</v>
      </c>
      <c r="AE49" s="113">
        <f t="shared" si="29"/>
        <v>0</v>
      </c>
      <c r="AF49" s="113">
        <f t="shared" si="29"/>
        <v>0</v>
      </c>
      <c r="AG49" s="113">
        <f t="shared" si="29"/>
        <v>0</v>
      </c>
      <c r="AH49" s="113">
        <f t="shared" si="29"/>
        <v>0</v>
      </c>
      <c r="AI49" s="113">
        <f t="shared" si="29"/>
        <v>0</v>
      </c>
      <c r="AJ49" s="113">
        <f t="shared" si="29"/>
        <v>0</v>
      </c>
      <c r="AK49" s="113">
        <f t="shared" si="29"/>
        <v>0</v>
      </c>
      <c r="AL49" s="113">
        <f t="shared" si="29"/>
        <v>0</v>
      </c>
      <c r="AM49" s="113">
        <f t="shared" si="29"/>
        <v>0</v>
      </c>
      <c r="AN49" s="113">
        <f t="shared" si="29"/>
        <v>0</v>
      </c>
      <c r="AO49" s="113">
        <f t="shared" si="29"/>
        <v>0</v>
      </c>
      <c r="AP49" s="113">
        <f t="shared" si="29"/>
        <v>0</v>
      </c>
      <c r="AQ49" s="114">
        <f t="shared" si="29"/>
        <v>0</v>
      </c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</row>
    <row r="50" spans="2:63" ht="12.75" customHeight="1">
      <c r="B50" s="23"/>
      <c r="C50" s="24" t="s">
        <v>196</v>
      </c>
      <c r="D50" s="113">
        <f t="shared" ref="D50:AQ50" si="30">D47*D$10/12</f>
        <v>0</v>
      </c>
      <c r="E50" s="113">
        <f t="shared" si="30"/>
        <v>0</v>
      </c>
      <c r="F50" s="113">
        <f t="shared" si="30"/>
        <v>0</v>
      </c>
      <c r="G50" s="113">
        <f t="shared" si="30"/>
        <v>0</v>
      </c>
      <c r="H50" s="113">
        <f t="shared" si="30"/>
        <v>0</v>
      </c>
      <c r="I50" s="113">
        <f t="shared" si="30"/>
        <v>0</v>
      </c>
      <c r="J50" s="113">
        <f t="shared" si="30"/>
        <v>0</v>
      </c>
      <c r="K50" s="113">
        <f t="shared" si="30"/>
        <v>0</v>
      </c>
      <c r="L50" s="113">
        <f t="shared" si="30"/>
        <v>0</v>
      </c>
      <c r="M50" s="113">
        <f t="shared" si="30"/>
        <v>0</v>
      </c>
      <c r="N50" s="113">
        <f t="shared" si="30"/>
        <v>0</v>
      </c>
      <c r="O50" s="113">
        <f t="shared" si="30"/>
        <v>0</v>
      </c>
      <c r="P50" s="113">
        <f t="shared" si="30"/>
        <v>0</v>
      </c>
      <c r="Q50" s="113">
        <f t="shared" si="30"/>
        <v>0</v>
      </c>
      <c r="R50" s="113">
        <f t="shared" si="30"/>
        <v>0</v>
      </c>
      <c r="S50" s="113">
        <f t="shared" si="30"/>
        <v>0</v>
      </c>
      <c r="T50" s="113">
        <f t="shared" si="30"/>
        <v>0</v>
      </c>
      <c r="U50" s="113">
        <f t="shared" si="30"/>
        <v>0</v>
      </c>
      <c r="V50" s="113">
        <f t="shared" si="30"/>
        <v>0</v>
      </c>
      <c r="W50" s="113">
        <f t="shared" si="30"/>
        <v>0</v>
      </c>
      <c r="X50" s="113">
        <f t="shared" si="30"/>
        <v>0</v>
      </c>
      <c r="Y50" s="113">
        <f t="shared" si="30"/>
        <v>0</v>
      </c>
      <c r="Z50" s="113">
        <f t="shared" si="30"/>
        <v>0</v>
      </c>
      <c r="AA50" s="113">
        <f t="shared" si="30"/>
        <v>0</v>
      </c>
      <c r="AB50" s="113">
        <f t="shared" si="30"/>
        <v>0</v>
      </c>
      <c r="AC50" s="113">
        <f t="shared" si="30"/>
        <v>0</v>
      </c>
      <c r="AD50" s="113">
        <f t="shared" si="30"/>
        <v>0</v>
      </c>
      <c r="AE50" s="113">
        <f t="shared" si="30"/>
        <v>0</v>
      </c>
      <c r="AF50" s="113">
        <f t="shared" si="30"/>
        <v>0</v>
      </c>
      <c r="AG50" s="113">
        <f t="shared" si="30"/>
        <v>0</v>
      </c>
      <c r="AH50" s="113">
        <f t="shared" si="30"/>
        <v>0</v>
      </c>
      <c r="AI50" s="113">
        <f t="shared" si="30"/>
        <v>0</v>
      </c>
      <c r="AJ50" s="113">
        <f t="shared" si="30"/>
        <v>0</v>
      </c>
      <c r="AK50" s="113">
        <f t="shared" si="30"/>
        <v>0</v>
      </c>
      <c r="AL50" s="113">
        <f t="shared" si="30"/>
        <v>0</v>
      </c>
      <c r="AM50" s="113">
        <f t="shared" si="30"/>
        <v>0</v>
      </c>
      <c r="AN50" s="113">
        <f t="shared" si="30"/>
        <v>0</v>
      </c>
      <c r="AO50" s="113">
        <f t="shared" si="30"/>
        <v>0</v>
      </c>
      <c r="AP50" s="113">
        <f t="shared" si="30"/>
        <v>0</v>
      </c>
      <c r="AQ50" s="114">
        <f t="shared" si="30"/>
        <v>0</v>
      </c>
      <c r="AR50" s="119"/>
      <c r="AS50" s="119"/>
      <c r="AT50" s="119"/>
      <c r="AU50" s="119"/>
      <c r="AV50" s="119"/>
      <c r="AW50" s="119"/>
      <c r="AX50" s="119"/>
      <c r="AY50" s="119"/>
      <c r="AZ50" s="119"/>
      <c r="BA50" s="119"/>
      <c r="BB50" s="119"/>
      <c r="BC50" s="119"/>
      <c r="BD50" s="119"/>
      <c r="BE50" s="119"/>
      <c r="BF50" s="119"/>
      <c r="BG50" s="119"/>
      <c r="BH50" s="119"/>
      <c r="BI50" s="119"/>
      <c r="BJ50" s="119"/>
      <c r="BK50" s="119"/>
    </row>
    <row r="51" spans="2:63" ht="12.75" customHeight="1">
      <c r="B51" s="23"/>
      <c r="C51" s="24" t="s">
        <v>197</v>
      </c>
      <c r="D51" s="113">
        <f t="shared" ref="D51:AQ51" si="31">D47-D49+D50</f>
        <v>0</v>
      </c>
      <c r="E51" s="113">
        <f t="shared" si="31"/>
        <v>0</v>
      </c>
      <c r="F51" s="113">
        <f t="shared" si="31"/>
        <v>0</v>
      </c>
      <c r="G51" s="113">
        <f t="shared" si="31"/>
        <v>0</v>
      </c>
      <c r="H51" s="113">
        <f t="shared" si="31"/>
        <v>0</v>
      </c>
      <c r="I51" s="113">
        <f t="shared" si="31"/>
        <v>0</v>
      </c>
      <c r="J51" s="113">
        <f t="shared" si="31"/>
        <v>0</v>
      </c>
      <c r="K51" s="113">
        <f t="shared" si="31"/>
        <v>0</v>
      </c>
      <c r="L51" s="113">
        <f t="shared" si="31"/>
        <v>0</v>
      </c>
      <c r="M51" s="113">
        <f t="shared" si="31"/>
        <v>0</v>
      </c>
      <c r="N51" s="113">
        <f t="shared" si="31"/>
        <v>0</v>
      </c>
      <c r="O51" s="113">
        <f t="shared" si="31"/>
        <v>0</v>
      </c>
      <c r="P51" s="113">
        <f t="shared" si="31"/>
        <v>0</v>
      </c>
      <c r="Q51" s="113">
        <f t="shared" si="31"/>
        <v>0</v>
      </c>
      <c r="R51" s="113">
        <f t="shared" si="31"/>
        <v>0</v>
      </c>
      <c r="S51" s="113">
        <f t="shared" si="31"/>
        <v>0</v>
      </c>
      <c r="T51" s="113">
        <f t="shared" si="31"/>
        <v>0</v>
      </c>
      <c r="U51" s="113">
        <f t="shared" si="31"/>
        <v>0</v>
      </c>
      <c r="V51" s="113">
        <f t="shared" si="31"/>
        <v>0</v>
      </c>
      <c r="W51" s="113">
        <f t="shared" si="31"/>
        <v>0</v>
      </c>
      <c r="X51" s="113">
        <f t="shared" si="31"/>
        <v>0</v>
      </c>
      <c r="Y51" s="113">
        <f t="shared" si="31"/>
        <v>0</v>
      </c>
      <c r="Z51" s="113">
        <f t="shared" si="31"/>
        <v>0</v>
      </c>
      <c r="AA51" s="113">
        <f t="shared" si="31"/>
        <v>0</v>
      </c>
      <c r="AB51" s="113">
        <f t="shared" si="31"/>
        <v>0</v>
      </c>
      <c r="AC51" s="113">
        <f t="shared" si="31"/>
        <v>0</v>
      </c>
      <c r="AD51" s="113">
        <f t="shared" si="31"/>
        <v>0</v>
      </c>
      <c r="AE51" s="113">
        <f t="shared" si="31"/>
        <v>0</v>
      </c>
      <c r="AF51" s="113">
        <f t="shared" si="31"/>
        <v>0</v>
      </c>
      <c r="AG51" s="113">
        <f t="shared" si="31"/>
        <v>0</v>
      </c>
      <c r="AH51" s="113">
        <f t="shared" si="31"/>
        <v>0</v>
      </c>
      <c r="AI51" s="113">
        <f t="shared" si="31"/>
        <v>0</v>
      </c>
      <c r="AJ51" s="113">
        <f t="shared" si="31"/>
        <v>0</v>
      </c>
      <c r="AK51" s="113">
        <f t="shared" si="31"/>
        <v>0</v>
      </c>
      <c r="AL51" s="113">
        <f t="shared" si="31"/>
        <v>0</v>
      </c>
      <c r="AM51" s="113">
        <f t="shared" si="31"/>
        <v>0</v>
      </c>
      <c r="AN51" s="113">
        <f t="shared" si="31"/>
        <v>0</v>
      </c>
      <c r="AO51" s="113">
        <f t="shared" si="31"/>
        <v>0</v>
      </c>
      <c r="AP51" s="113">
        <f t="shared" si="31"/>
        <v>0</v>
      </c>
      <c r="AQ51" s="114">
        <f t="shared" si="31"/>
        <v>0</v>
      </c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19"/>
      <c r="BI51" s="119"/>
      <c r="BJ51" s="119"/>
      <c r="BK51" s="119"/>
    </row>
    <row r="52" spans="2:63" ht="12.75" customHeight="1">
      <c r="B52" s="23"/>
      <c r="C52" s="24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4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19"/>
      <c r="BI52" s="119"/>
      <c r="BJ52" s="119"/>
      <c r="BK52" s="119"/>
    </row>
    <row r="53" spans="2:63" ht="12.75" customHeight="1">
      <c r="B53" s="23" t="s">
        <v>206</v>
      </c>
      <c r="C53" s="24" t="s">
        <v>195</v>
      </c>
      <c r="D53" s="113">
        <f t="shared" ref="D53:AQ53" si="32">D$11</f>
        <v>0</v>
      </c>
      <c r="E53" s="113">
        <f t="shared" si="32"/>
        <v>0</v>
      </c>
      <c r="F53" s="113">
        <f t="shared" si="32"/>
        <v>0</v>
      </c>
      <c r="G53" s="113">
        <f t="shared" si="32"/>
        <v>0</v>
      </c>
      <c r="H53" s="113">
        <f t="shared" si="32"/>
        <v>0</v>
      </c>
      <c r="I53" s="113">
        <f t="shared" si="32"/>
        <v>0</v>
      </c>
      <c r="J53" s="113">
        <f t="shared" si="32"/>
        <v>0</v>
      </c>
      <c r="K53" s="113">
        <f t="shared" si="32"/>
        <v>0</v>
      </c>
      <c r="L53" s="113">
        <f t="shared" si="32"/>
        <v>0</v>
      </c>
      <c r="M53" s="113">
        <f t="shared" si="32"/>
        <v>0</v>
      </c>
      <c r="N53" s="113">
        <f t="shared" si="32"/>
        <v>0</v>
      </c>
      <c r="O53" s="113">
        <f t="shared" si="32"/>
        <v>0</v>
      </c>
      <c r="P53" s="113">
        <f t="shared" si="32"/>
        <v>0</v>
      </c>
      <c r="Q53" s="113">
        <f t="shared" si="32"/>
        <v>0</v>
      </c>
      <c r="R53" s="113">
        <f t="shared" si="32"/>
        <v>0</v>
      </c>
      <c r="S53" s="113">
        <f t="shared" si="32"/>
        <v>0</v>
      </c>
      <c r="T53" s="113">
        <f t="shared" si="32"/>
        <v>0</v>
      </c>
      <c r="U53" s="113">
        <f t="shared" si="32"/>
        <v>0</v>
      </c>
      <c r="V53" s="113">
        <f t="shared" si="32"/>
        <v>0</v>
      </c>
      <c r="W53" s="113">
        <f t="shared" si="32"/>
        <v>0</v>
      </c>
      <c r="X53" s="113">
        <f t="shared" si="32"/>
        <v>0</v>
      </c>
      <c r="Y53" s="113">
        <f t="shared" si="32"/>
        <v>0</v>
      </c>
      <c r="Z53" s="113">
        <f t="shared" si="32"/>
        <v>0</v>
      </c>
      <c r="AA53" s="113">
        <f t="shared" si="32"/>
        <v>0</v>
      </c>
      <c r="AB53" s="113">
        <f t="shared" si="32"/>
        <v>0</v>
      </c>
      <c r="AC53" s="113">
        <f t="shared" si="32"/>
        <v>0</v>
      </c>
      <c r="AD53" s="113">
        <f t="shared" si="32"/>
        <v>0</v>
      </c>
      <c r="AE53" s="113">
        <f t="shared" si="32"/>
        <v>0</v>
      </c>
      <c r="AF53" s="113">
        <f t="shared" si="32"/>
        <v>0</v>
      </c>
      <c r="AG53" s="113">
        <f t="shared" si="32"/>
        <v>0</v>
      </c>
      <c r="AH53" s="113">
        <f t="shared" si="32"/>
        <v>0</v>
      </c>
      <c r="AI53" s="113">
        <f t="shared" si="32"/>
        <v>0</v>
      </c>
      <c r="AJ53" s="113">
        <f t="shared" si="32"/>
        <v>0</v>
      </c>
      <c r="AK53" s="113">
        <f t="shared" si="32"/>
        <v>0</v>
      </c>
      <c r="AL53" s="113">
        <f t="shared" si="32"/>
        <v>0</v>
      </c>
      <c r="AM53" s="113">
        <f t="shared" si="32"/>
        <v>0</v>
      </c>
      <c r="AN53" s="113">
        <f t="shared" si="32"/>
        <v>0</v>
      </c>
      <c r="AO53" s="113">
        <f t="shared" si="32"/>
        <v>0</v>
      </c>
      <c r="AP53" s="113">
        <f t="shared" si="32"/>
        <v>0</v>
      </c>
      <c r="AQ53" s="114">
        <f t="shared" si="32"/>
        <v>0</v>
      </c>
      <c r="AR53" s="119"/>
      <c r="AS53" s="119"/>
      <c r="AT53" s="119"/>
      <c r="AU53" s="119"/>
      <c r="AV53" s="119"/>
      <c r="AW53" s="119"/>
      <c r="AX53" s="119"/>
      <c r="AY53" s="119"/>
      <c r="AZ53" s="119"/>
      <c r="BA53" s="119"/>
      <c r="BB53" s="119"/>
      <c r="BC53" s="119"/>
      <c r="BD53" s="119"/>
      <c r="BE53" s="119"/>
      <c r="BF53" s="119"/>
      <c r="BG53" s="119"/>
      <c r="BH53" s="119"/>
      <c r="BI53" s="119"/>
      <c r="BJ53" s="119"/>
      <c r="BK53" s="119"/>
    </row>
    <row r="54" spans="2:63" ht="12.75" customHeight="1">
      <c r="B54" s="23"/>
      <c r="C54" s="24" t="s">
        <v>196</v>
      </c>
      <c r="D54" s="113">
        <f t="shared" ref="D54:AQ54" si="33">D51*D$10/12</f>
        <v>0</v>
      </c>
      <c r="E54" s="113">
        <f t="shared" si="33"/>
        <v>0</v>
      </c>
      <c r="F54" s="113">
        <f t="shared" si="33"/>
        <v>0</v>
      </c>
      <c r="G54" s="113">
        <f t="shared" si="33"/>
        <v>0</v>
      </c>
      <c r="H54" s="113">
        <f t="shared" si="33"/>
        <v>0</v>
      </c>
      <c r="I54" s="113">
        <f t="shared" si="33"/>
        <v>0</v>
      </c>
      <c r="J54" s="113">
        <f t="shared" si="33"/>
        <v>0</v>
      </c>
      <c r="K54" s="113">
        <f t="shared" si="33"/>
        <v>0</v>
      </c>
      <c r="L54" s="113">
        <f t="shared" si="33"/>
        <v>0</v>
      </c>
      <c r="M54" s="113">
        <f t="shared" si="33"/>
        <v>0</v>
      </c>
      <c r="N54" s="113">
        <f t="shared" si="33"/>
        <v>0</v>
      </c>
      <c r="O54" s="113">
        <f t="shared" si="33"/>
        <v>0</v>
      </c>
      <c r="P54" s="113">
        <f t="shared" si="33"/>
        <v>0</v>
      </c>
      <c r="Q54" s="113">
        <f t="shared" si="33"/>
        <v>0</v>
      </c>
      <c r="R54" s="113">
        <f t="shared" si="33"/>
        <v>0</v>
      </c>
      <c r="S54" s="113">
        <f t="shared" si="33"/>
        <v>0</v>
      </c>
      <c r="T54" s="113">
        <f t="shared" si="33"/>
        <v>0</v>
      </c>
      <c r="U54" s="113">
        <f t="shared" si="33"/>
        <v>0</v>
      </c>
      <c r="V54" s="113">
        <f t="shared" si="33"/>
        <v>0</v>
      </c>
      <c r="W54" s="113">
        <f t="shared" si="33"/>
        <v>0</v>
      </c>
      <c r="X54" s="113">
        <f t="shared" si="33"/>
        <v>0</v>
      </c>
      <c r="Y54" s="113">
        <f t="shared" si="33"/>
        <v>0</v>
      </c>
      <c r="Z54" s="113">
        <f t="shared" si="33"/>
        <v>0</v>
      </c>
      <c r="AA54" s="113">
        <f t="shared" si="33"/>
        <v>0</v>
      </c>
      <c r="AB54" s="113">
        <f t="shared" si="33"/>
        <v>0</v>
      </c>
      <c r="AC54" s="113">
        <f t="shared" si="33"/>
        <v>0</v>
      </c>
      <c r="AD54" s="113">
        <f t="shared" si="33"/>
        <v>0</v>
      </c>
      <c r="AE54" s="113">
        <f t="shared" si="33"/>
        <v>0</v>
      </c>
      <c r="AF54" s="113">
        <f t="shared" si="33"/>
        <v>0</v>
      </c>
      <c r="AG54" s="113">
        <f t="shared" si="33"/>
        <v>0</v>
      </c>
      <c r="AH54" s="113">
        <f t="shared" si="33"/>
        <v>0</v>
      </c>
      <c r="AI54" s="113">
        <f t="shared" si="33"/>
        <v>0</v>
      </c>
      <c r="AJ54" s="113">
        <f t="shared" si="33"/>
        <v>0</v>
      </c>
      <c r="AK54" s="113">
        <f t="shared" si="33"/>
        <v>0</v>
      </c>
      <c r="AL54" s="113">
        <f t="shared" si="33"/>
        <v>0</v>
      </c>
      <c r="AM54" s="113">
        <f t="shared" si="33"/>
        <v>0</v>
      </c>
      <c r="AN54" s="113">
        <f t="shared" si="33"/>
        <v>0</v>
      </c>
      <c r="AO54" s="113">
        <f t="shared" si="33"/>
        <v>0</v>
      </c>
      <c r="AP54" s="113">
        <f t="shared" si="33"/>
        <v>0</v>
      </c>
      <c r="AQ54" s="114">
        <f t="shared" si="33"/>
        <v>0</v>
      </c>
      <c r="AR54" s="119"/>
      <c r="AS54" s="119"/>
      <c r="AT54" s="119"/>
      <c r="AU54" s="119"/>
      <c r="AV54" s="119"/>
      <c r="AW54" s="119"/>
      <c r="AX54" s="119"/>
      <c r="AY54" s="119"/>
      <c r="AZ54" s="119"/>
      <c r="BA54" s="119"/>
      <c r="BB54" s="119"/>
      <c r="BC54" s="119"/>
      <c r="BD54" s="119"/>
      <c r="BE54" s="119"/>
      <c r="BF54" s="119"/>
      <c r="BG54" s="119"/>
      <c r="BH54" s="119"/>
      <c r="BI54" s="119"/>
      <c r="BJ54" s="119"/>
      <c r="BK54" s="119"/>
    </row>
    <row r="55" spans="2:63" ht="12.75" customHeight="1">
      <c r="B55" s="23"/>
      <c r="C55" s="24" t="s">
        <v>197</v>
      </c>
      <c r="D55" s="113">
        <f t="shared" ref="D55:AQ55" si="34">D51-D53+D54</f>
        <v>0</v>
      </c>
      <c r="E55" s="113">
        <f t="shared" si="34"/>
        <v>0</v>
      </c>
      <c r="F55" s="113">
        <f t="shared" si="34"/>
        <v>0</v>
      </c>
      <c r="G55" s="113">
        <f t="shared" si="34"/>
        <v>0</v>
      </c>
      <c r="H55" s="113">
        <f t="shared" si="34"/>
        <v>0</v>
      </c>
      <c r="I55" s="113">
        <f t="shared" si="34"/>
        <v>0</v>
      </c>
      <c r="J55" s="113">
        <f t="shared" si="34"/>
        <v>0</v>
      </c>
      <c r="K55" s="113">
        <f t="shared" si="34"/>
        <v>0</v>
      </c>
      <c r="L55" s="113">
        <f t="shared" si="34"/>
        <v>0</v>
      </c>
      <c r="M55" s="113">
        <f t="shared" si="34"/>
        <v>0</v>
      </c>
      <c r="N55" s="113">
        <f t="shared" si="34"/>
        <v>0</v>
      </c>
      <c r="O55" s="113">
        <f t="shared" si="34"/>
        <v>0</v>
      </c>
      <c r="P55" s="113">
        <f t="shared" si="34"/>
        <v>0</v>
      </c>
      <c r="Q55" s="113">
        <f t="shared" si="34"/>
        <v>0</v>
      </c>
      <c r="R55" s="113">
        <f t="shared" si="34"/>
        <v>0</v>
      </c>
      <c r="S55" s="113">
        <f t="shared" si="34"/>
        <v>0</v>
      </c>
      <c r="T55" s="113">
        <f t="shared" si="34"/>
        <v>0</v>
      </c>
      <c r="U55" s="113">
        <f t="shared" si="34"/>
        <v>0</v>
      </c>
      <c r="V55" s="113">
        <f t="shared" si="34"/>
        <v>0</v>
      </c>
      <c r="W55" s="113">
        <f t="shared" si="34"/>
        <v>0</v>
      </c>
      <c r="X55" s="113">
        <f t="shared" si="34"/>
        <v>0</v>
      </c>
      <c r="Y55" s="113">
        <f t="shared" si="34"/>
        <v>0</v>
      </c>
      <c r="Z55" s="113">
        <f t="shared" si="34"/>
        <v>0</v>
      </c>
      <c r="AA55" s="113">
        <f t="shared" si="34"/>
        <v>0</v>
      </c>
      <c r="AB55" s="113">
        <f t="shared" si="34"/>
        <v>0</v>
      </c>
      <c r="AC55" s="113">
        <f t="shared" si="34"/>
        <v>0</v>
      </c>
      <c r="AD55" s="113">
        <f t="shared" si="34"/>
        <v>0</v>
      </c>
      <c r="AE55" s="113">
        <f t="shared" si="34"/>
        <v>0</v>
      </c>
      <c r="AF55" s="113">
        <f t="shared" si="34"/>
        <v>0</v>
      </c>
      <c r="AG55" s="113">
        <f t="shared" si="34"/>
        <v>0</v>
      </c>
      <c r="AH55" s="113">
        <f t="shared" si="34"/>
        <v>0</v>
      </c>
      <c r="AI55" s="113">
        <f t="shared" si="34"/>
        <v>0</v>
      </c>
      <c r="AJ55" s="113">
        <f t="shared" si="34"/>
        <v>0</v>
      </c>
      <c r="AK55" s="113">
        <f t="shared" si="34"/>
        <v>0</v>
      </c>
      <c r="AL55" s="113">
        <f t="shared" si="34"/>
        <v>0</v>
      </c>
      <c r="AM55" s="113">
        <f t="shared" si="34"/>
        <v>0</v>
      </c>
      <c r="AN55" s="113">
        <f t="shared" si="34"/>
        <v>0</v>
      </c>
      <c r="AO55" s="113">
        <f t="shared" si="34"/>
        <v>0</v>
      </c>
      <c r="AP55" s="113">
        <f t="shared" si="34"/>
        <v>0</v>
      </c>
      <c r="AQ55" s="114">
        <f t="shared" si="34"/>
        <v>0</v>
      </c>
      <c r="AR55" s="119"/>
      <c r="AS55" s="119"/>
      <c r="AT55" s="119"/>
      <c r="AU55" s="119"/>
      <c r="AV55" s="119"/>
      <c r="AW55" s="119"/>
      <c r="AX55" s="119"/>
      <c r="AY55" s="119"/>
      <c r="AZ55" s="119"/>
      <c r="BA55" s="119"/>
      <c r="BB55" s="119"/>
      <c r="BC55" s="119"/>
      <c r="BD55" s="119"/>
      <c r="BE55" s="119"/>
      <c r="BF55" s="119"/>
      <c r="BG55" s="119"/>
      <c r="BH55" s="119"/>
      <c r="BI55" s="119"/>
      <c r="BJ55" s="119"/>
      <c r="BK55" s="119"/>
    </row>
    <row r="56" spans="2:63" ht="12.75" customHeight="1">
      <c r="B56" s="23"/>
      <c r="C56" s="24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4"/>
      <c r="AR56" s="119"/>
      <c r="AS56" s="119"/>
      <c r="AT56" s="119"/>
      <c r="AU56" s="119"/>
      <c r="AV56" s="119"/>
      <c r="AW56" s="119"/>
      <c r="AX56" s="119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19"/>
      <c r="BJ56" s="119"/>
      <c r="BK56" s="119"/>
    </row>
    <row r="57" spans="2:63" ht="12.75" customHeight="1">
      <c r="B57" s="23" t="s">
        <v>207</v>
      </c>
      <c r="C57" s="24" t="s">
        <v>195</v>
      </c>
      <c r="D57" s="113">
        <f t="shared" ref="D57:AQ57" si="35">D$11</f>
        <v>0</v>
      </c>
      <c r="E57" s="113">
        <f t="shared" si="35"/>
        <v>0</v>
      </c>
      <c r="F57" s="113">
        <f t="shared" si="35"/>
        <v>0</v>
      </c>
      <c r="G57" s="113">
        <f t="shared" si="35"/>
        <v>0</v>
      </c>
      <c r="H57" s="113">
        <f t="shared" si="35"/>
        <v>0</v>
      </c>
      <c r="I57" s="113">
        <f t="shared" si="35"/>
        <v>0</v>
      </c>
      <c r="J57" s="113">
        <f t="shared" si="35"/>
        <v>0</v>
      </c>
      <c r="K57" s="113">
        <f t="shared" si="35"/>
        <v>0</v>
      </c>
      <c r="L57" s="113">
        <f t="shared" si="35"/>
        <v>0</v>
      </c>
      <c r="M57" s="113">
        <f t="shared" si="35"/>
        <v>0</v>
      </c>
      <c r="N57" s="113">
        <f t="shared" si="35"/>
        <v>0</v>
      </c>
      <c r="O57" s="113">
        <f t="shared" si="35"/>
        <v>0</v>
      </c>
      <c r="P57" s="113">
        <f t="shared" si="35"/>
        <v>0</v>
      </c>
      <c r="Q57" s="113">
        <f t="shared" si="35"/>
        <v>0</v>
      </c>
      <c r="R57" s="113">
        <f t="shared" si="35"/>
        <v>0</v>
      </c>
      <c r="S57" s="113">
        <f t="shared" si="35"/>
        <v>0</v>
      </c>
      <c r="T57" s="113">
        <f t="shared" si="35"/>
        <v>0</v>
      </c>
      <c r="U57" s="113">
        <f t="shared" si="35"/>
        <v>0</v>
      </c>
      <c r="V57" s="113">
        <f t="shared" si="35"/>
        <v>0</v>
      </c>
      <c r="W57" s="113">
        <f t="shared" si="35"/>
        <v>0</v>
      </c>
      <c r="X57" s="113">
        <f t="shared" si="35"/>
        <v>0</v>
      </c>
      <c r="Y57" s="113">
        <f t="shared" si="35"/>
        <v>0</v>
      </c>
      <c r="Z57" s="113">
        <f t="shared" si="35"/>
        <v>0</v>
      </c>
      <c r="AA57" s="113">
        <f t="shared" si="35"/>
        <v>0</v>
      </c>
      <c r="AB57" s="113">
        <f t="shared" si="35"/>
        <v>0</v>
      </c>
      <c r="AC57" s="113">
        <f t="shared" si="35"/>
        <v>0</v>
      </c>
      <c r="AD57" s="113">
        <f t="shared" si="35"/>
        <v>0</v>
      </c>
      <c r="AE57" s="113">
        <f t="shared" si="35"/>
        <v>0</v>
      </c>
      <c r="AF57" s="113">
        <f t="shared" si="35"/>
        <v>0</v>
      </c>
      <c r="AG57" s="113">
        <f t="shared" si="35"/>
        <v>0</v>
      </c>
      <c r="AH57" s="113">
        <f t="shared" si="35"/>
        <v>0</v>
      </c>
      <c r="AI57" s="113">
        <f t="shared" si="35"/>
        <v>0</v>
      </c>
      <c r="AJ57" s="113">
        <f t="shared" si="35"/>
        <v>0</v>
      </c>
      <c r="AK57" s="113">
        <f t="shared" si="35"/>
        <v>0</v>
      </c>
      <c r="AL57" s="113">
        <f t="shared" si="35"/>
        <v>0</v>
      </c>
      <c r="AM57" s="113">
        <f t="shared" si="35"/>
        <v>0</v>
      </c>
      <c r="AN57" s="113">
        <f t="shared" si="35"/>
        <v>0</v>
      </c>
      <c r="AO57" s="113">
        <f t="shared" si="35"/>
        <v>0</v>
      </c>
      <c r="AP57" s="113">
        <f t="shared" si="35"/>
        <v>0</v>
      </c>
      <c r="AQ57" s="114">
        <f t="shared" si="35"/>
        <v>0</v>
      </c>
      <c r="AR57" s="119"/>
      <c r="AS57" s="119"/>
      <c r="AT57" s="119"/>
      <c r="AU57" s="119"/>
      <c r="AV57" s="119"/>
      <c r="AW57" s="119"/>
      <c r="AX57" s="119"/>
      <c r="AY57" s="119"/>
      <c r="AZ57" s="119"/>
      <c r="BA57" s="119"/>
      <c r="BB57" s="119"/>
      <c r="BC57" s="119"/>
      <c r="BD57" s="119"/>
      <c r="BE57" s="119"/>
      <c r="BF57" s="119"/>
      <c r="BG57" s="119"/>
      <c r="BH57" s="119"/>
      <c r="BI57" s="119"/>
      <c r="BJ57" s="119"/>
      <c r="BK57" s="119"/>
    </row>
    <row r="58" spans="2:63" ht="12.75" customHeight="1">
      <c r="B58" s="23"/>
      <c r="C58" s="24" t="s">
        <v>196</v>
      </c>
      <c r="D58" s="113">
        <f t="shared" ref="D58:AQ58" si="36">D55*D$10/12</f>
        <v>0</v>
      </c>
      <c r="E58" s="113">
        <f t="shared" si="36"/>
        <v>0</v>
      </c>
      <c r="F58" s="113">
        <f t="shared" si="36"/>
        <v>0</v>
      </c>
      <c r="G58" s="113">
        <f t="shared" si="36"/>
        <v>0</v>
      </c>
      <c r="H58" s="113">
        <f t="shared" si="36"/>
        <v>0</v>
      </c>
      <c r="I58" s="113">
        <f t="shared" si="36"/>
        <v>0</v>
      </c>
      <c r="J58" s="113">
        <f t="shared" si="36"/>
        <v>0</v>
      </c>
      <c r="K58" s="113">
        <f t="shared" si="36"/>
        <v>0</v>
      </c>
      <c r="L58" s="113">
        <f t="shared" si="36"/>
        <v>0</v>
      </c>
      <c r="M58" s="113">
        <f t="shared" si="36"/>
        <v>0</v>
      </c>
      <c r="N58" s="113">
        <f t="shared" si="36"/>
        <v>0</v>
      </c>
      <c r="O58" s="113">
        <f t="shared" si="36"/>
        <v>0</v>
      </c>
      <c r="P58" s="113">
        <f t="shared" si="36"/>
        <v>0</v>
      </c>
      <c r="Q58" s="113">
        <f t="shared" si="36"/>
        <v>0</v>
      </c>
      <c r="R58" s="113">
        <f t="shared" si="36"/>
        <v>0</v>
      </c>
      <c r="S58" s="113">
        <f t="shared" si="36"/>
        <v>0</v>
      </c>
      <c r="T58" s="113">
        <f t="shared" si="36"/>
        <v>0</v>
      </c>
      <c r="U58" s="113">
        <f t="shared" si="36"/>
        <v>0</v>
      </c>
      <c r="V58" s="113">
        <f t="shared" si="36"/>
        <v>0</v>
      </c>
      <c r="W58" s="113">
        <f t="shared" si="36"/>
        <v>0</v>
      </c>
      <c r="X58" s="113">
        <f t="shared" si="36"/>
        <v>0</v>
      </c>
      <c r="Y58" s="113">
        <f t="shared" si="36"/>
        <v>0</v>
      </c>
      <c r="Z58" s="113">
        <f t="shared" si="36"/>
        <v>0</v>
      </c>
      <c r="AA58" s="113">
        <f t="shared" si="36"/>
        <v>0</v>
      </c>
      <c r="AB58" s="113">
        <f t="shared" si="36"/>
        <v>0</v>
      </c>
      <c r="AC58" s="113">
        <f t="shared" si="36"/>
        <v>0</v>
      </c>
      <c r="AD58" s="113">
        <f t="shared" si="36"/>
        <v>0</v>
      </c>
      <c r="AE58" s="113">
        <f t="shared" si="36"/>
        <v>0</v>
      </c>
      <c r="AF58" s="113">
        <f t="shared" si="36"/>
        <v>0</v>
      </c>
      <c r="AG58" s="113">
        <f t="shared" si="36"/>
        <v>0</v>
      </c>
      <c r="AH58" s="113">
        <f t="shared" si="36"/>
        <v>0</v>
      </c>
      <c r="AI58" s="113">
        <f t="shared" si="36"/>
        <v>0</v>
      </c>
      <c r="AJ58" s="113">
        <f t="shared" si="36"/>
        <v>0</v>
      </c>
      <c r="AK58" s="113">
        <f t="shared" si="36"/>
        <v>0</v>
      </c>
      <c r="AL58" s="113">
        <f t="shared" si="36"/>
        <v>0</v>
      </c>
      <c r="AM58" s="113">
        <f t="shared" si="36"/>
        <v>0</v>
      </c>
      <c r="AN58" s="113">
        <f t="shared" si="36"/>
        <v>0</v>
      </c>
      <c r="AO58" s="113">
        <f t="shared" si="36"/>
        <v>0</v>
      </c>
      <c r="AP58" s="113">
        <f t="shared" si="36"/>
        <v>0</v>
      </c>
      <c r="AQ58" s="114">
        <f t="shared" si="36"/>
        <v>0</v>
      </c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</row>
    <row r="59" spans="2:63" ht="12.75" customHeight="1">
      <c r="B59" s="23"/>
      <c r="C59" s="24" t="s">
        <v>197</v>
      </c>
      <c r="D59" s="113">
        <f t="shared" ref="D59:AQ59" si="37">D55-D57+D58</f>
        <v>0</v>
      </c>
      <c r="E59" s="113">
        <f t="shared" si="37"/>
        <v>0</v>
      </c>
      <c r="F59" s="113">
        <f t="shared" si="37"/>
        <v>0</v>
      </c>
      <c r="G59" s="113">
        <f t="shared" si="37"/>
        <v>0</v>
      </c>
      <c r="H59" s="113">
        <f t="shared" si="37"/>
        <v>0</v>
      </c>
      <c r="I59" s="113">
        <f t="shared" si="37"/>
        <v>0</v>
      </c>
      <c r="J59" s="113">
        <f t="shared" si="37"/>
        <v>0</v>
      </c>
      <c r="K59" s="113">
        <f t="shared" si="37"/>
        <v>0</v>
      </c>
      <c r="L59" s="113">
        <f t="shared" si="37"/>
        <v>0</v>
      </c>
      <c r="M59" s="113">
        <f t="shared" si="37"/>
        <v>0</v>
      </c>
      <c r="N59" s="113">
        <f t="shared" si="37"/>
        <v>0</v>
      </c>
      <c r="O59" s="113">
        <f t="shared" si="37"/>
        <v>0</v>
      </c>
      <c r="P59" s="113">
        <f t="shared" si="37"/>
        <v>0</v>
      </c>
      <c r="Q59" s="113">
        <f t="shared" si="37"/>
        <v>0</v>
      </c>
      <c r="R59" s="113">
        <f t="shared" si="37"/>
        <v>0</v>
      </c>
      <c r="S59" s="113">
        <f t="shared" si="37"/>
        <v>0</v>
      </c>
      <c r="T59" s="113">
        <f t="shared" si="37"/>
        <v>0</v>
      </c>
      <c r="U59" s="113">
        <f t="shared" si="37"/>
        <v>0</v>
      </c>
      <c r="V59" s="113">
        <f t="shared" si="37"/>
        <v>0</v>
      </c>
      <c r="W59" s="113">
        <f t="shared" si="37"/>
        <v>0</v>
      </c>
      <c r="X59" s="113">
        <f t="shared" si="37"/>
        <v>0</v>
      </c>
      <c r="Y59" s="113">
        <f t="shared" si="37"/>
        <v>0</v>
      </c>
      <c r="Z59" s="113">
        <f t="shared" si="37"/>
        <v>0</v>
      </c>
      <c r="AA59" s="113">
        <f t="shared" si="37"/>
        <v>0</v>
      </c>
      <c r="AB59" s="113">
        <f t="shared" si="37"/>
        <v>0</v>
      </c>
      <c r="AC59" s="113">
        <f t="shared" si="37"/>
        <v>0</v>
      </c>
      <c r="AD59" s="113">
        <f t="shared" si="37"/>
        <v>0</v>
      </c>
      <c r="AE59" s="113">
        <f t="shared" si="37"/>
        <v>0</v>
      </c>
      <c r="AF59" s="113">
        <f t="shared" si="37"/>
        <v>0</v>
      </c>
      <c r="AG59" s="113">
        <f t="shared" si="37"/>
        <v>0</v>
      </c>
      <c r="AH59" s="113">
        <f t="shared" si="37"/>
        <v>0</v>
      </c>
      <c r="AI59" s="113">
        <f t="shared" si="37"/>
        <v>0</v>
      </c>
      <c r="AJ59" s="113">
        <f t="shared" si="37"/>
        <v>0</v>
      </c>
      <c r="AK59" s="113">
        <f t="shared" si="37"/>
        <v>0</v>
      </c>
      <c r="AL59" s="113">
        <f t="shared" si="37"/>
        <v>0</v>
      </c>
      <c r="AM59" s="113">
        <f t="shared" si="37"/>
        <v>0</v>
      </c>
      <c r="AN59" s="113">
        <f t="shared" si="37"/>
        <v>0</v>
      </c>
      <c r="AO59" s="113">
        <f t="shared" si="37"/>
        <v>0</v>
      </c>
      <c r="AP59" s="113">
        <f t="shared" si="37"/>
        <v>0</v>
      </c>
      <c r="AQ59" s="114">
        <f t="shared" si="37"/>
        <v>0</v>
      </c>
      <c r="AR59" s="119"/>
      <c r="AS59" s="119"/>
      <c r="AT59" s="119"/>
      <c r="AU59" s="119"/>
      <c r="AV59" s="119"/>
      <c r="AW59" s="119"/>
      <c r="AX59" s="119"/>
      <c r="AY59" s="119"/>
      <c r="AZ59" s="119"/>
      <c r="BA59" s="119"/>
      <c r="BB59" s="119"/>
      <c r="BC59" s="119"/>
      <c r="BD59" s="119"/>
      <c r="BE59" s="119"/>
      <c r="BF59" s="119"/>
      <c r="BG59" s="119"/>
      <c r="BH59" s="119"/>
      <c r="BI59" s="119"/>
      <c r="BJ59" s="119"/>
      <c r="BK59" s="119"/>
    </row>
    <row r="60" spans="2:63" ht="12.75" customHeight="1">
      <c r="B60" s="23"/>
      <c r="C60" s="24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4"/>
      <c r="AR60" s="119"/>
      <c r="AS60" s="119"/>
      <c r="AT60" s="119"/>
      <c r="AU60" s="119"/>
      <c r="AV60" s="119"/>
      <c r="AW60" s="119"/>
      <c r="AX60" s="119"/>
      <c r="AY60" s="119"/>
      <c r="AZ60" s="119"/>
      <c r="BA60" s="119"/>
      <c r="BB60" s="119"/>
      <c r="BC60" s="119"/>
      <c r="BD60" s="119"/>
      <c r="BE60" s="119"/>
      <c r="BF60" s="119"/>
      <c r="BG60" s="119"/>
      <c r="BH60" s="119"/>
      <c r="BI60" s="119"/>
      <c r="BJ60" s="119"/>
      <c r="BK60" s="119"/>
    </row>
    <row r="61" spans="2:63" ht="12.75" customHeight="1">
      <c r="B61" s="23" t="s">
        <v>208</v>
      </c>
      <c r="C61" s="24" t="s">
        <v>195</v>
      </c>
      <c r="D61" s="113">
        <f t="shared" ref="D61:AQ61" si="38">IF($E$5="Yes",IF(D$9=$C$5,$C$3+D62,D$11),D$11)</f>
        <v>0</v>
      </c>
      <c r="E61" s="113">
        <f t="shared" si="38"/>
        <v>0</v>
      </c>
      <c r="F61" s="113">
        <f t="shared" si="38"/>
        <v>0</v>
      </c>
      <c r="G61" s="113">
        <f t="shared" si="38"/>
        <v>0</v>
      </c>
      <c r="H61" s="113">
        <f t="shared" si="38"/>
        <v>0</v>
      </c>
      <c r="I61" s="113">
        <f t="shared" si="38"/>
        <v>0</v>
      </c>
      <c r="J61" s="113">
        <f t="shared" si="38"/>
        <v>0</v>
      </c>
      <c r="K61" s="113">
        <f t="shared" si="38"/>
        <v>0</v>
      </c>
      <c r="L61" s="113">
        <f t="shared" si="38"/>
        <v>0</v>
      </c>
      <c r="M61" s="113">
        <f t="shared" si="38"/>
        <v>0</v>
      </c>
      <c r="N61" s="113">
        <f t="shared" si="38"/>
        <v>0</v>
      </c>
      <c r="O61" s="113">
        <f t="shared" si="38"/>
        <v>0</v>
      </c>
      <c r="P61" s="113">
        <f t="shared" si="38"/>
        <v>0</v>
      </c>
      <c r="Q61" s="113">
        <f t="shared" si="38"/>
        <v>0</v>
      </c>
      <c r="R61" s="113">
        <f t="shared" si="38"/>
        <v>0</v>
      </c>
      <c r="S61" s="113">
        <f t="shared" si="38"/>
        <v>0</v>
      </c>
      <c r="T61" s="113">
        <f t="shared" si="38"/>
        <v>0</v>
      </c>
      <c r="U61" s="113">
        <f t="shared" si="38"/>
        <v>0</v>
      </c>
      <c r="V61" s="113">
        <f t="shared" si="38"/>
        <v>0</v>
      </c>
      <c r="W61" s="113">
        <f t="shared" si="38"/>
        <v>0</v>
      </c>
      <c r="X61" s="113">
        <f t="shared" si="38"/>
        <v>0</v>
      </c>
      <c r="Y61" s="113">
        <f t="shared" si="38"/>
        <v>0</v>
      </c>
      <c r="Z61" s="113">
        <f t="shared" si="38"/>
        <v>0</v>
      </c>
      <c r="AA61" s="113">
        <f t="shared" si="38"/>
        <v>0</v>
      </c>
      <c r="AB61" s="113">
        <f t="shared" si="38"/>
        <v>0</v>
      </c>
      <c r="AC61" s="113">
        <f t="shared" si="38"/>
        <v>0</v>
      </c>
      <c r="AD61" s="113">
        <f t="shared" si="38"/>
        <v>0</v>
      </c>
      <c r="AE61" s="113">
        <f t="shared" si="38"/>
        <v>0</v>
      </c>
      <c r="AF61" s="113">
        <f t="shared" si="38"/>
        <v>0</v>
      </c>
      <c r="AG61" s="113">
        <f t="shared" si="38"/>
        <v>0</v>
      </c>
      <c r="AH61" s="113">
        <f t="shared" si="38"/>
        <v>0</v>
      </c>
      <c r="AI61" s="113">
        <f t="shared" si="38"/>
        <v>0</v>
      </c>
      <c r="AJ61" s="113">
        <f t="shared" si="38"/>
        <v>0</v>
      </c>
      <c r="AK61" s="113">
        <f t="shared" si="38"/>
        <v>0</v>
      </c>
      <c r="AL61" s="113">
        <f t="shared" si="38"/>
        <v>0</v>
      </c>
      <c r="AM61" s="113">
        <f t="shared" si="38"/>
        <v>0</v>
      </c>
      <c r="AN61" s="113">
        <f t="shared" si="38"/>
        <v>0</v>
      </c>
      <c r="AO61" s="113">
        <f t="shared" si="38"/>
        <v>0</v>
      </c>
      <c r="AP61" s="113">
        <f t="shared" si="38"/>
        <v>0</v>
      </c>
      <c r="AQ61" s="114">
        <f t="shared" si="38"/>
        <v>0</v>
      </c>
      <c r="AR61" s="119"/>
      <c r="AS61" s="119"/>
      <c r="AT61" s="119"/>
      <c r="AU61" s="119"/>
      <c r="AV61" s="119"/>
      <c r="AW61" s="119"/>
      <c r="AX61" s="119"/>
      <c r="AY61" s="119"/>
      <c r="AZ61" s="119"/>
      <c r="BA61" s="119"/>
      <c r="BB61" s="119"/>
      <c r="BC61" s="119"/>
      <c r="BD61" s="119"/>
      <c r="BE61" s="119"/>
      <c r="BF61" s="119"/>
      <c r="BG61" s="119"/>
      <c r="BH61" s="119"/>
      <c r="BI61" s="119"/>
      <c r="BJ61" s="119"/>
      <c r="BK61" s="119"/>
    </row>
    <row r="62" spans="2:63" ht="12.75" customHeight="1">
      <c r="B62" s="23"/>
      <c r="C62" s="24" t="s">
        <v>196</v>
      </c>
      <c r="D62" s="113">
        <f t="shared" ref="D62:AQ62" si="39">D59*D$10/12</f>
        <v>0</v>
      </c>
      <c r="E62" s="113">
        <f t="shared" si="39"/>
        <v>0</v>
      </c>
      <c r="F62" s="113">
        <f t="shared" si="39"/>
        <v>0</v>
      </c>
      <c r="G62" s="113">
        <f t="shared" si="39"/>
        <v>0</v>
      </c>
      <c r="H62" s="113">
        <f t="shared" si="39"/>
        <v>0</v>
      </c>
      <c r="I62" s="113">
        <f t="shared" si="39"/>
        <v>0</v>
      </c>
      <c r="J62" s="113">
        <f t="shared" si="39"/>
        <v>0</v>
      </c>
      <c r="K62" s="113">
        <f t="shared" si="39"/>
        <v>0</v>
      </c>
      <c r="L62" s="113">
        <f t="shared" si="39"/>
        <v>0</v>
      </c>
      <c r="M62" s="113">
        <f t="shared" si="39"/>
        <v>0</v>
      </c>
      <c r="N62" s="113">
        <f t="shared" si="39"/>
        <v>0</v>
      </c>
      <c r="O62" s="113">
        <f t="shared" si="39"/>
        <v>0</v>
      </c>
      <c r="P62" s="113">
        <f t="shared" si="39"/>
        <v>0</v>
      </c>
      <c r="Q62" s="113">
        <f t="shared" si="39"/>
        <v>0</v>
      </c>
      <c r="R62" s="113">
        <f t="shared" si="39"/>
        <v>0</v>
      </c>
      <c r="S62" s="113">
        <f t="shared" si="39"/>
        <v>0</v>
      </c>
      <c r="T62" s="113">
        <f t="shared" si="39"/>
        <v>0</v>
      </c>
      <c r="U62" s="113">
        <f t="shared" si="39"/>
        <v>0</v>
      </c>
      <c r="V62" s="113">
        <f t="shared" si="39"/>
        <v>0</v>
      </c>
      <c r="W62" s="113">
        <f t="shared" si="39"/>
        <v>0</v>
      </c>
      <c r="X62" s="113">
        <f t="shared" si="39"/>
        <v>0</v>
      </c>
      <c r="Y62" s="113">
        <f t="shared" si="39"/>
        <v>0</v>
      </c>
      <c r="Z62" s="113">
        <f t="shared" si="39"/>
        <v>0</v>
      </c>
      <c r="AA62" s="113">
        <f t="shared" si="39"/>
        <v>0</v>
      </c>
      <c r="AB62" s="113">
        <f t="shared" si="39"/>
        <v>0</v>
      </c>
      <c r="AC62" s="113">
        <f t="shared" si="39"/>
        <v>0</v>
      </c>
      <c r="AD62" s="113">
        <f t="shared" si="39"/>
        <v>0</v>
      </c>
      <c r="AE62" s="113">
        <f t="shared" si="39"/>
        <v>0</v>
      </c>
      <c r="AF62" s="113">
        <f t="shared" si="39"/>
        <v>0</v>
      </c>
      <c r="AG62" s="113">
        <f t="shared" si="39"/>
        <v>0</v>
      </c>
      <c r="AH62" s="113">
        <f t="shared" si="39"/>
        <v>0</v>
      </c>
      <c r="AI62" s="113">
        <f t="shared" si="39"/>
        <v>0</v>
      </c>
      <c r="AJ62" s="113">
        <f t="shared" si="39"/>
        <v>0</v>
      </c>
      <c r="AK62" s="113">
        <f t="shared" si="39"/>
        <v>0</v>
      </c>
      <c r="AL62" s="113">
        <f t="shared" si="39"/>
        <v>0</v>
      </c>
      <c r="AM62" s="113">
        <f t="shared" si="39"/>
        <v>0</v>
      </c>
      <c r="AN62" s="113">
        <f t="shared" si="39"/>
        <v>0</v>
      </c>
      <c r="AO62" s="113">
        <f t="shared" si="39"/>
        <v>0</v>
      </c>
      <c r="AP62" s="113">
        <f t="shared" si="39"/>
        <v>0</v>
      </c>
      <c r="AQ62" s="114">
        <f t="shared" si="39"/>
        <v>0</v>
      </c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19"/>
      <c r="BI62" s="119"/>
      <c r="BJ62" s="119"/>
      <c r="BK62" s="119"/>
    </row>
    <row r="63" spans="2:63" ht="12.75" customHeight="1">
      <c r="B63" s="38"/>
      <c r="C63" s="40" t="s">
        <v>197</v>
      </c>
      <c r="D63" s="115">
        <f t="shared" ref="D63:AQ63" si="40">D59-D61+D62</f>
        <v>0</v>
      </c>
      <c r="E63" s="115">
        <f t="shared" si="40"/>
        <v>0</v>
      </c>
      <c r="F63" s="115">
        <f t="shared" si="40"/>
        <v>0</v>
      </c>
      <c r="G63" s="115">
        <f t="shared" si="40"/>
        <v>0</v>
      </c>
      <c r="H63" s="115">
        <f t="shared" si="40"/>
        <v>0</v>
      </c>
      <c r="I63" s="115">
        <f t="shared" si="40"/>
        <v>0</v>
      </c>
      <c r="J63" s="115">
        <f t="shared" si="40"/>
        <v>0</v>
      </c>
      <c r="K63" s="115">
        <f t="shared" si="40"/>
        <v>0</v>
      </c>
      <c r="L63" s="115">
        <f t="shared" si="40"/>
        <v>0</v>
      </c>
      <c r="M63" s="115">
        <f t="shared" si="40"/>
        <v>0</v>
      </c>
      <c r="N63" s="115">
        <f t="shared" si="40"/>
        <v>0</v>
      </c>
      <c r="O63" s="115">
        <f t="shared" si="40"/>
        <v>0</v>
      </c>
      <c r="P63" s="115">
        <f t="shared" si="40"/>
        <v>0</v>
      </c>
      <c r="Q63" s="115">
        <f t="shared" si="40"/>
        <v>0</v>
      </c>
      <c r="R63" s="115">
        <f t="shared" si="40"/>
        <v>0</v>
      </c>
      <c r="S63" s="115">
        <f t="shared" si="40"/>
        <v>0</v>
      </c>
      <c r="T63" s="115">
        <f t="shared" si="40"/>
        <v>0</v>
      </c>
      <c r="U63" s="115">
        <f t="shared" si="40"/>
        <v>0</v>
      </c>
      <c r="V63" s="115">
        <f t="shared" si="40"/>
        <v>0</v>
      </c>
      <c r="W63" s="115">
        <f t="shared" si="40"/>
        <v>0</v>
      </c>
      <c r="X63" s="115">
        <f t="shared" si="40"/>
        <v>0</v>
      </c>
      <c r="Y63" s="115">
        <f t="shared" si="40"/>
        <v>0</v>
      </c>
      <c r="Z63" s="115">
        <f t="shared" si="40"/>
        <v>0</v>
      </c>
      <c r="AA63" s="115">
        <f t="shared" si="40"/>
        <v>0</v>
      </c>
      <c r="AB63" s="115">
        <f t="shared" si="40"/>
        <v>0</v>
      </c>
      <c r="AC63" s="115">
        <f t="shared" si="40"/>
        <v>0</v>
      </c>
      <c r="AD63" s="115">
        <f t="shared" si="40"/>
        <v>0</v>
      </c>
      <c r="AE63" s="115">
        <f t="shared" si="40"/>
        <v>0</v>
      </c>
      <c r="AF63" s="115">
        <f t="shared" si="40"/>
        <v>0</v>
      </c>
      <c r="AG63" s="115">
        <f t="shared" si="40"/>
        <v>0</v>
      </c>
      <c r="AH63" s="115">
        <f t="shared" si="40"/>
        <v>0</v>
      </c>
      <c r="AI63" s="115">
        <f t="shared" si="40"/>
        <v>0</v>
      </c>
      <c r="AJ63" s="115">
        <f t="shared" si="40"/>
        <v>0</v>
      </c>
      <c r="AK63" s="115">
        <f t="shared" si="40"/>
        <v>0</v>
      </c>
      <c r="AL63" s="115">
        <f t="shared" si="40"/>
        <v>0</v>
      </c>
      <c r="AM63" s="115">
        <f t="shared" si="40"/>
        <v>0</v>
      </c>
      <c r="AN63" s="115">
        <f t="shared" si="40"/>
        <v>0</v>
      </c>
      <c r="AO63" s="115">
        <f t="shared" si="40"/>
        <v>0</v>
      </c>
      <c r="AP63" s="115">
        <f t="shared" si="40"/>
        <v>0</v>
      </c>
      <c r="AQ63" s="116">
        <f t="shared" si="40"/>
        <v>0</v>
      </c>
      <c r="AR63" s="119"/>
      <c r="AS63" s="119"/>
      <c r="AT63" s="119"/>
      <c r="AU63" s="119"/>
      <c r="AV63" s="119"/>
      <c r="AW63" s="119"/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19"/>
      <c r="BI63" s="119"/>
      <c r="BJ63" s="119"/>
      <c r="BK63" s="119"/>
    </row>
    <row r="64" spans="2:63" ht="12.75" customHeight="1"/>
    <row r="65" spans="2:43" ht="12.75" customHeight="1"/>
    <row r="66" spans="2:43" ht="12.75" customHeight="1">
      <c r="B66" s="120" t="s">
        <v>16</v>
      </c>
      <c r="C66" s="121" t="str">
        <f t="shared" ref="C66:C68" si="41">C61</f>
        <v>Payment</v>
      </c>
      <c r="D66" s="122">
        <f t="shared" ref="D66:AQ66" si="42">D17+D21+D25</f>
        <v>0</v>
      </c>
      <c r="E66" s="122">
        <f t="shared" si="42"/>
        <v>0</v>
      </c>
      <c r="F66" s="122">
        <f t="shared" si="42"/>
        <v>0</v>
      </c>
      <c r="G66" s="122">
        <f t="shared" si="42"/>
        <v>0</v>
      </c>
      <c r="H66" s="122">
        <f t="shared" si="42"/>
        <v>0</v>
      </c>
      <c r="I66" s="122">
        <f t="shared" si="42"/>
        <v>0</v>
      </c>
      <c r="J66" s="122">
        <f t="shared" si="42"/>
        <v>0</v>
      </c>
      <c r="K66" s="122">
        <f t="shared" si="42"/>
        <v>0</v>
      </c>
      <c r="L66" s="122">
        <f t="shared" si="42"/>
        <v>0</v>
      </c>
      <c r="M66" s="122">
        <f t="shared" si="42"/>
        <v>0</v>
      </c>
      <c r="N66" s="122">
        <f t="shared" si="42"/>
        <v>0</v>
      </c>
      <c r="O66" s="122">
        <f t="shared" si="42"/>
        <v>0</v>
      </c>
      <c r="P66" s="122">
        <f t="shared" si="42"/>
        <v>0</v>
      </c>
      <c r="Q66" s="122">
        <f t="shared" si="42"/>
        <v>0</v>
      </c>
      <c r="R66" s="122">
        <f t="shared" si="42"/>
        <v>0</v>
      </c>
      <c r="S66" s="122">
        <f t="shared" si="42"/>
        <v>0</v>
      </c>
      <c r="T66" s="122">
        <f t="shared" si="42"/>
        <v>0</v>
      </c>
      <c r="U66" s="122">
        <f t="shared" si="42"/>
        <v>0</v>
      </c>
      <c r="V66" s="122">
        <f t="shared" si="42"/>
        <v>0</v>
      </c>
      <c r="W66" s="122">
        <f t="shared" si="42"/>
        <v>0</v>
      </c>
      <c r="X66" s="122">
        <f t="shared" si="42"/>
        <v>0</v>
      </c>
      <c r="Y66" s="122">
        <f t="shared" si="42"/>
        <v>0</v>
      </c>
      <c r="Z66" s="122">
        <f t="shared" si="42"/>
        <v>0</v>
      </c>
      <c r="AA66" s="122">
        <f t="shared" si="42"/>
        <v>0</v>
      </c>
      <c r="AB66" s="122">
        <f t="shared" si="42"/>
        <v>0</v>
      </c>
      <c r="AC66" s="122">
        <f t="shared" si="42"/>
        <v>0</v>
      </c>
      <c r="AD66" s="122">
        <f t="shared" si="42"/>
        <v>0</v>
      </c>
      <c r="AE66" s="122">
        <f t="shared" si="42"/>
        <v>0</v>
      </c>
      <c r="AF66" s="122">
        <f t="shared" si="42"/>
        <v>0</v>
      </c>
      <c r="AG66" s="122">
        <f t="shared" si="42"/>
        <v>0</v>
      </c>
      <c r="AH66" s="122">
        <f t="shared" si="42"/>
        <v>0</v>
      </c>
      <c r="AI66" s="122">
        <f t="shared" si="42"/>
        <v>0</v>
      </c>
      <c r="AJ66" s="122">
        <f t="shared" si="42"/>
        <v>0</v>
      </c>
      <c r="AK66" s="122">
        <f t="shared" si="42"/>
        <v>0</v>
      </c>
      <c r="AL66" s="122">
        <f t="shared" si="42"/>
        <v>0</v>
      </c>
      <c r="AM66" s="122">
        <f t="shared" si="42"/>
        <v>0</v>
      </c>
      <c r="AN66" s="122">
        <f t="shared" si="42"/>
        <v>0</v>
      </c>
      <c r="AO66" s="122">
        <f t="shared" si="42"/>
        <v>0</v>
      </c>
      <c r="AP66" s="122">
        <f t="shared" si="42"/>
        <v>0</v>
      </c>
      <c r="AQ66" s="123">
        <f t="shared" si="42"/>
        <v>0</v>
      </c>
    </row>
    <row r="67" spans="2:43" ht="12.75" customHeight="1">
      <c r="B67" s="124"/>
      <c r="C67" s="125" t="str">
        <f t="shared" si="41"/>
        <v>Interest</v>
      </c>
      <c r="D67" s="126">
        <f t="shared" ref="D67:AQ67" si="43">D18+D22+D26</f>
        <v>0</v>
      </c>
      <c r="E67" s="126">
        <f t="shared" si="43"/>
        <v>0</v>
      </c>
      <c r="F67" s="126">
        <f t="shared" si="43"/>
        <v>0</v>
      </c>
      <c r="G67" s="126">
        <f t="shared" si="43"/>
        <v>0</v>
      </c>
      <c r="H67" s="126">
        <f t="shared" si="43"/>
        <v>0</v>
      </c>
      <c r="I67" s="126">
        <f t="shared" si="43"/>
        <v>0</v>
      </c>
      <c r="J67" s="126">
        <f t="shared" si="43"/>
        <v>0</v>
      </c>
      <c r="K67" s="126">
        <f t="shared" si="43"/>
        <v>0</v>
      </c>
      <c r="L67" s="126">
        <f t="shared" si="43"/>
        <v>0</v>
      </c>
      <c r="M67" s="126">
        <f t="shared" si="43"/>
        <v>0</v>
      </c>
      <c r="N67" s="126">
        <f t="shared" si="43"/>
        <v>0</v>
      </c>
      <c r="O67" s="126">
        <f t="shared" si="43"/>
        <v>0</v>
      </c>
      <c r="P67" s="126">
        <f t="shared" si="43"/>
        <v>0</v>
      </c>
      <c r="Q67" s="126">
        <f t="shared" si="43"/>
        <v>0</v>
      </c>
      <c r="R67" s="126">
        <f t="shared" si="43"/>
        <v>0</v>
      </c>
      <c r="S67" s="126">
        <f t="shared" si="43"/>
        <v>0</v>
      </c>
      <c r="T67" s="126">
        <f t="shared" si="43"/>
        <v>0</v>
      </c>
      <c r="U67" s="126">
        <f t="shared" si="43"/>
        <v>0</v>
      </c>
      <c r="V67" s="126">
        <f t="shared" si="43"/>
        <v>0</v>
      </c>
      <c r="W67" s="126">
        <f t="shared" si="43"/>
        <v>0</v>
      </c>
      <c r="X67" s="126">
        <f t="shared" si="43"/>
        <v>0</v>
      </c>
      <c r="Y67" s="126">
        <f t="shared" si="43"/>
        <v>0</v>
      </c>
      <c r="Z67" s="126">
        <f t="shared" si="43"/>
        <v>0</v>
      </c>
      <c r="AA67" s="126">
        <f t="shared" si="43"/>
        <v>0</v>
      </c>
      <c r="AB67" s="126">
        <f t="shared" si="43"/>
        <v>0</v>
      </c>
      <c r="AC67" s="126">
        <f t="shared" si="43"/>
        <v>0</v>
      </c>
      <c r="AD67" s="126">
        <f t="shared" si="43"/>
        <v>0</v>
      </c>
      <c r="AE67" s="126">
        <f t="shared" si="43"/>
        <v>0</v>
      </c>
      <c r="AF67" s="126">
        <f t="shared" si="43"/>
        <v>0</v>
      </c>
      <c r="AG67" s="126">
        <f t="shared" si="43"/>
        <v>0</v>
      </c>
      <c r="AH67" s="126">
        <f t="shared" si="43"/>
        <v>0</v>
      </c>
      <c r="AI67" s="126">
        <f t="shared" si="43"/>
        <v>0</v>
      </c>
      <c r="AJ67" s="126">
        <f t="shared" si="43"/>
        <v>0</v>
      </c>
      <c r="AK67" s="126">
        <f t="shared" si="43"/>
        <v>0</v>
      </c>
      <c r="AL67" s="126">
        <f t="shared" si="43"/>
        <v>0</v>
      </c>
      <c r="AM67" s="126">
        <f t="shared" si="43"/>
        <v>0</v>
      </c>
      <c r="AN67" s="126">
        <f t="shared" si="43"/>
        <v>0</v>
      </c>
      <c r="AO67" s="126">
        <f t="shared" si="43"/>
        <v>0</v>
      </c>
      <c r="AP67" s="126">
        <f t="shared" si="43"/>
        <v>0</v>
      </c>
      <c r="AQ67" s="127">
        <f t="shared" si="43"/>
        <v>0</v>
      </c>
    </row>
    <row r="68" spans="2:43" ht="12.75" customHeight="1">
      <c r="B68" s="124"/>
      <c r="C68" s="125" t="str">
        <f t="shared" si="41"/>
        <v>Balance</v>
      </c>
      <c r="D68" s="126">
        <f t="shared" ref="D68:AQ68" si="44">D27</f>
        <v>0</v>
      </c>
      <c r="E68" s="126">
        <f t="shared" si="44"/>
        <v>0</v>
      </c>
      <c r="F68" s="126">
        <f t="shared" si="44"/>
        <v>0</v>
      </c>
      <c r="G68" s="126">
        <f t="shared" si="44"/>
        <v>0</v>
      </c>
      <c r="H68" s="126">
        <f t="shared" si="44"/>
        <v>0</v>
      </c>
      <c r="I68" s="126">
        <f t="shared" si="44"/>
        <v>0</v>
      </c>
      <c r="J68" s="126">
        <f t="shared" si="44"/>
        <v>0</v>
      </c>
      <c r="K68" s="126">
        <f t="shared" si="44"/>
        <v>0</v>
      </c>
      <c r="L68" s="126">
        <f t="shared" si="44"/>
        <v>0</v>
      </c>
      <c r="M68" s="126">
        <f t="shared" si="44"/>
        <v>0</v>
      </c>
      <c r="N68" s="126">
        <f t="shared" si="44"/>
        <v>0</v>
      </c>
      <c r="O68" s="126">
        <f t="shared" si="44"/>
        <v>0</v>
      </c>
      <c r="P68" s="126">
        <f t="shared" si="44"/>
        <v>0</v>
      </c>
      <c r="Q68" s="126">
        <f t="shared" si="44"/>
        <v>0</v>
      </c>
      <c r="R68" s="126">
        <f t="shared" si="44"/>
        <v>0</v>
      </c>
      <c r="S68" s="126">
        <f t="shared" si="44"/>
        <v>0</v>
      </c>
      <c r="T68" s="126">
        <f t="shared" si="44"/>
        <v>0</v>
      </c>
      <c r="U68" s="126">
        <f t="shared" si="44"/>
        <v>0</v>
      </c>
      <c r="V68" s="126">
        <f t="shared" si="44"/>
        <v>0</v>
      </c>
      <c r="W68" s="126">
        <f t="shared" si="44"/>
        <v>0</v>
      </c>
      <c r="X68" s="126">
        <f t="shared" si="44"/>
        <v>0</v>
      </c>
      <c r="Y68" s="126">
        <f t="shared" si="44"/>
        <v>0</v>
      </c>
      <c r="Z68" s="126">
        <f t="shared" si="44"/>
        <v>0</v>
      </c>
      <c r="AA68" s="126">
        <f t="shared" si="44"/>
        <v>0</v>
      </c>
      <c r="AB68" s="126">
        <f t="shared" si="44"/>
        <v>0</v>
      </c>
      <c r="AC68" s="126">
        <f t="shared" si="44"/>
        <v>0</v>
      </c>
      <c r="AD68" s="126">
        <f t="shared" si="44"/>
        <v>0</v>
      </c>
      <c r="AE68" s="126">
        <f t="shared" si="44"/>
        <v>0</v>
      </c>
      <c r="AF68" s="126">
        <f t="shared" si="44"/>
        <v>0</v>
      </c>
      <c r="AG68" s="126">
        <f t="shared" si="44"/>
        <v>0</v>
      </c>
      <c r="AH68" s="126">
        <f t="shared" si="44"/>
        <v>0</v>
      </c>
      <c r="AI68" s="126">
        <f t="shared" si="44"/>
        <v>0</v>
      </c>
      <c r="AJ68" s="126">
        <f t="shared" si="44"/>
        <v>0</v>
      </c>
      <c r="AK68" s="126">
        <f t="shared" si="44"/>
        <v>0</v>
      </c>
      <c r="AL68" s="126">
        <f t="shared" si="44"/>
        <v>0</v>
      </c>
      <c r="AM68" s="126">
        <f t="shared" si="44"/>
        <v>0</v>
      </c>
      <c r="AN68" s="126">
        <f t="shared" si="44"/>
        <v>0</v>
      </c>
      <c r="AO68" s="126">
        <f t="shared" si="44"/>
        <v>0</v>
      </c>
      <c r="AP68" s="126">
        <f t="shared" si="44"/>
        <v>0</v>
      </c>
      <c r="AQ68" s="127">
        <f t="shared" si="44"/>
        <v>0</v>
      </c>
    </row>
    <row r="69" spans="2:43" ht="12.75" customHeight="1">
      <c r="B69" s="124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125"/>
      <c r="AH69" s="125"/>
      <c r="AI69" s="125"/>
      <c r="AJ69" s="125"/>
      <c r="AK69" s="125"/>
      <c r="AL69" s="125"/>
      <c r="AM69" s="125"/>
      <c r="AN69" s="125"/>
      <c r="AO69" s="125"/>
      <c r="AP69" s="125"/>
      <c r="AQ69" s="128"/>
    </row>
    <row r="70" spans="2:43" ht="12.75" customHeight="1">
      <c r="B70" s="124" t="s">
        <v>17</v>
      </c>
      <c r="C70" s="125" t="str">
        <f t="shared" ref="C70:C72" si="45">C66</f>
        <v>Payment</v>
      </c>
      <c r="D70" s="126">
        <f t="shared" ref="D70:AQ70" si="46">D29+D33+D37</f>
        <v>0</v>
      </c>
      <c r="E70" s="126">
        <f t="shared" si="46"/>
        <v>0</v>
      </c>
      <c r="F70" s="126">
        <f t="shared" si="46"/>
        <v>0</v>
      </c>
      <c r="G70" s="126">
        <f t="shared" si="46"/>
        <v>0</v>
      </c>
      <c r="H70" s="126">
        <f t="shared" si="46"/>
        <v>0</v>
      </c>
      <c r="I70" s="126">
        <f t="shared" si="46"/>
        <v>0</v>
      </c>
      <c r="J70" s="126">
        <f t="shared" si="46"/>
        <v>0</v>
      </c>
      <c r="K70" s="126">
        <f t="shared" si="46"/>
        <v>0</v>
      </c>
      <c r="L70" s="126">
        <f t="shared" si="46"/>
        <v>0</v>
      </c>
      <c r="M70" s="126">
        <f t="shared" si="46"/>
        <v>0</v>
      </c>
      <c r="N70" s="126">
        <f t="shared" si="46"/>
        <v>0</v>
      </c>
      <c r="O70" s="126">
        <f t="shared" si="46"/>
        <v>0</v>
      </c>
      <c r="P70" s="126">
        <f t="shared" si="46"/>
        <v>0</v>
      </c>
      <c r="Q70" s="126">
        <f t="shared" si="46"/>
        <v>0</v>
      </c>
      <c r="R70" s="126">
        <f t="shared" si="46"/>
        <v>0</v>
      </c>
      <c r="S70" s="126">
        <f t="shared" si="46"/>
        <v>0</v>
      </c>
      <c r="T70" s="126">
        <f t="shared" si="46"/>
        <v>0</v>
      </c>
      <c r="U70" s="126">
        <f t="shared" si="46"/>
        <v>0</v>
      </c>
      <c r="V70" s="126">
        <f t="shared" si="46"/>
        <v>0</v>
      </c>
      <c r="W70" s="126">
        <f t="shared" si="46"/>
        <v>0</v>
      </c>
      <c r="X70" s="126">
        <f t="shared" si="46"/>
        <v>0</v>
      </c>
      <c r="Y70" s="126">
        <f t="shared" si="46"/>
        <v>0</v>
      </c>
      <c r="Z70" s="126">
        <f t="shared" si="46"/>
        <v>0</v>
      </c>
      <c r="AA70" s="126">
        <f t="shared" si="46"/>
        <v>0</v>
      </c>
      <c r="AB70" s="126">
        <f t="shared" si="46"/>
        <v>0</v>
      </c>
      <c r="AC70" s="126">
        <f t="shared" si="46"/>
        <v>0</v>
      </c>
      <c r="AD70" s="126">
        <f t="shared" si="46"/>
        <v>0</v>
      </c>
      <c r="AE70" s="126">
        <f t="shared" si="46"/>
        <v>0</v>
      </c>
      <c r="AF70" s="126">
        <f t="shared" si="46"/>
        <v>0</v>
      </c>
      <c r="AG70" s="126">
        <f t="shared" si="46"/>
        <v>0</v>
      </c>
      <c r="AH70" s="126">
        <f t="shared" si="46"/>
        <v>0</v>
      </c>
      <c r="AI70" s="126">
        <f t="shared" si="46"/>
        <v>0</v>
      </c>
      <c r="AJ70" s="126">
        <f t="shared" si="46"/>
        <v>0</v>
      </c>
      <c r="AK70" s="126">
        <f t="shared" si="46"/>
        <v>0</v>
      </c>
      <c r="AL70" s="126">
        <f t="shared" si="46"/>
        <v>0</v>
      </c>
      <c r="AM70" s="126">
        <f t="shared" si="46"/>
        <v>0</v>
      </c>
      <c r="AN70" s="126">
        <f t="shared" si="46"/>
        <v>0</v>
      </c>
      <c r="AO70" s="126">
        <f t="shared" si="46"/>
        <v>0</v>
      </c>
      <c r="AP70" s="126">
        <f t="shared" si="46"/>
        <v>0</v>
      </c>
      <c r="AQ70" s="127">
        <f t="shared" si="46"/>
        <v>0</v>
      </c>
    </row>
    <row r="71" spans="2:43" ht="12.75" customHeight="1">
      <c r="B71" s="124"/>
      <c r="C71" s="125" t="str">
        <f t="shared" si="45"/>
        <v>Interest</v>
      </c>
      <c r="D71" s="126">
        <f t="shared" ref="D71:AQ71" si="47">D30+D34+D38</f>
        <v>0</v>
      </c>
      <c r="E71" s="126">
        <f t="shared" si="47"/>
        <v>0</v>
      </c>
      <c r="F71" s="126">
        <f t="shared" si="47"/>
        <v>0</v>
      </c>
      <c r="G71" s="126">
        <f t="shared" si="47"/>
        <v>0</v>
      </c>
      <c r="H71" s="126">
        <f t="shared" si="47"/>
        <v>0</v>
      </c>
      <c r="I71" s="126">
        <f t="shared" si="47"/>
        <v>0</v>
      </c>
      <c r="J71" s="126">
        <f t="shared" si="47"/>
        <v>0</v>
      </c>
      <c r="K71" s="126">
        <f t="shared" si="47"/>
        <v>0</v>
      </c>
      <c r="L71" s="126">
        <f t="shared" si="47"/>
        <v>0</v>
      </c>
      <c r="M71" s="126">
        <f t="shared" si="47"/>
        <v>0</v>
      </c>
      <c r="N71" s="126">
        <f t="shared" si="47"/>
        <v>0</v>
      </c>
      <c r="O71" s="126">
        <f t="shared" si="47"/>
        <v>0</v>
      </c>
      <c r="P71" s="126">
        <f t="shared" si="47"/>
        <v>0</v>
      </c>
      <c r="Q71" s="126">
        <f t="shared" si="47"/>
        <v>0</v>
      </c>
      <c r="R71" s="126">
        <f t="shared" si="47"/>
        <v>0</v>
      </c>
      <c r="S71" s="126">
        <f t="shared" si="47"/>
        <v>0</v>
      </c>
      <c r="T71" s="126">
        <f t="shared" si="47"/>
        <v>0</v>
      </c>
      <c r="U71" s="126">
        <f t="shared" si="47"/>
        <v>0</v>
      </c>
      <c r="V71" s="126">
        <f t="shared" si="47"/>
        <v>0</v>
      </c>
      <c r="W71" s="126">
        <f t="shared" si="47"/>
        <v>0</v>
      </c>
      <c r="X71" s="126">
        <f t="shared" si="47"/>
        <v>0</v>
      </c>
      <c r="Y71" s="126">
        <f t="shared" si="47"/>
        <v>0</v>
      </c>
      <c r="Z71" s="126">
        <f t="shared" si="47"/>
        <v>0</v>
      </c>
      <c r="AA71" s="126">
        <f t="shared" si="47"/>
        <v>0</v>
      </c>
      <c r="AB71" s="126">
        <f t="shared" si="47"/>
        <v>0</v>
      </c>
      <c r="AC71" s="126">
        <f t="shared" si="47"/>
        <v>0</v>
      </c>
      <c r="AD71" s="126">
        <f t="shared" si="47"/>
        <v>0</v>
      </c>
      <c r="AE71" s="126">
        <f t="shared" si="47"/>
        <v>0</v>
      </c>
      <c r="AF71" s="126">
        <f t="shared" si="47"/>
        <v>0</v>
      </c>
      <c r="AG71" s="126">
        <f t="shared" si="47"/>
        <v>0</v>
      </c>
      <c r="AH71" s="126">
        <f t="shared" si="47"/>
        <v>0</v>
      </c>
      <c r="AI71" s="126">
        <f t="shared" si="47"/>
        <v>0</v>
      </c>
      <c r="AJ71" s="126">
        <f t="shared" si="47"/>
        <v>0</v>
      </c>
      <c r="AK71" s="126">
        <f t="shared" si="47"/>
        <v>0</v>
      </c>
      <c r="AL71" s="126">
        <f t="shared" si="47"/>
        <v>0</v>
      </c>
      <c r="AM71" s="126">
        <f t="shared" si="47"/>
        <v>0</v>
      </c>
      <c r="AN71" s="126">
        <f t="shared" si="47"/>
        <v>0</v>
      </c>
      <c r="AO71" s="126">
        <f t="shared" si="47"/>
        <v>0</v>
      </c>
      <c r="AP71" s="126">
        <f t="shared" si="47"/>
        <v>0</v>
      </c>
      <c r="AQ71" s="127">
        <f t="shared" si="47"/>
        <v>0</v>
      </c>
    </row>
    <row r="72" spans="2:43" ht="12.75" customHeight="1">
      <c r="B72" s="124"/>
      <c r="C72" s="125" t="str">
        <f t="shared" si="45"/>
        <v>Balance</v>
      </c>
      <c r="D72" s="126">
        <f t="shared" ref="D72:AQ72" si="48">D39</f>
        <v>0</v>
      </c>
      <c r="E72" s="126">
        <f t="shared" si="48"/>
        <v>0</v>
      </c>
      <c r="F72" s="126">
        <f t="shared" si="48"/>
        <v>0</v>
      </c>
      <c r="G72" s="126">
        <f t="shared" si="48"/>
        <v>0</v>
      </c>
      <c r="H72" s="126">
        <f t="shared" si="48"/>
        <v>0</v>
      </c>
      <c r="I72" s="126">
        <f t="shared" si="48"/>
        <v>0</v>
      </c>
      <c r="J72" s="126">
        <f t="shared" si="48"/>
        <v>0</v>
      </c>
      <c r="K72" s="126">
        <f t="shared" si="48"/>
        <v>0</v>
      </c>
      <c r="L72" s="126">
        <f t="shared" si="48"/>
        <v>0</v>
      </c>
      <c r="M72" s="126">
        <f t="shared" si="48"/>
        <v>0</v>
      </c>
      <c r="N72" s="126">
        <f t="shared" si="48"/>
        <v>0</v>
      </c>
      <c r="O72" s="126">
        <f t="shared" si="48"/>
        <v>0</v>
      </c>
      <c r="P72" s="126">
        <f t="shared" si="48"/>
        <v>0</v>
      </c>
      <c r="Q72" s="126">
        <f t="shared" si="48"/>
        <v>0</v>
      </c>
      <c r="R72" s="126">
        <f t="shared" si="48"/>
        <v>0</v>
      </c>
      <c r="S72" s="126">
        <f t="shared" si="48"/>
        <v>0</v>
      </c>
      <c r="T72" s="126">
        <f t="shared" si="48"/>
        <v>0</v>
      </c>
      <c r="U72" s="126">
        <f t="shared" si="48"/>
        <v>0</v>
      </c>
      <c r="V72" s="126">
        <f t="shared" si="48"/>
        <v>0</v>
      </c>
      <c r="W72" s="126">
        <f t="shared" si="48"/>
        <v>0</v>
      </c>
      <c r="X72" s="126">
        <f t="shared" si="48"/>
        <v>0</v>
      </c>
      <c r="Y72" s="126">
        <f t="shared" si="48"/>
        <v>0</v>
      </c>
      <c r="Z72" s="126">
        <f t="shared" si="48"/>
        <v>0</v>
      </c>
      <c r="AA72" s="126">
        <f t="shared" si="48"/>
        <v>0</v>
      </c>
      <c r="AB72" s="126">
        <f t="shared" si="48"/>
        <v>0</v>
      </c>
      <c r="AC72" s="126">
        <f t="shared" si="48"/>
        <v>0</v>
      </c>
      <c r="AD72" s="126">
        <f t="shared" si="48"/>
        <v>0</v>
      </c>
      <c r="AE72" s="126">
        <f t="shared" si="48"/>
        <v>0</v>
      </c>
      <c r="AF72" s="126">
        <f t="shared" si="48"/>
        <v>0</v>
      </c>
      <c r="AG72" s="126">
        <f t="shared" si="48"/>
        <v>0</v>
      </c>
      <c r="AH72" s="126">
        <f t="shared" si="48"/>
        <v>0</v>
      </c>
      <c r="AI72" s="126">
        <f t="shared" si="48"/>
        <v>0</v>
      </c>
      <c r="AJ72" s="126">
        <f t="shared" si="48"/>
        <v>0</v>
      </c>
      <c r="AK72" s="126">
        <f t="shared" si="48"/>
        <v>0</v>
      </c>
      <c r="AL72" s="126">
        <f t="shared" si="48"/>
        <v>0</v>
      </c>
      <c r="AM72" s="126">
        <f t="shared" si="48"/>
        <v>0</v>
      </c>
      <c r="AN72" s="126">
        <f t="shared" si="48"/>
        <v>0</v>
      </c>
      <c r="AO72" s="126">
        <f t="shared" si="48"/>
        <v>0</v>
      </c>
      <c r="AP72" s="126">
        <f t="shared" si="48"/>
        <v>0</v>
      </c>
      <c r="AQ72" s="127">
        <f t="shared" si="48"/>
        <v>0</v>
      </c>
    </row>
    <row r="73" spans="2:43" ht="12.75" customHeight="1">
      <c r="B73" s="124"/>
      <c r="C73" s="125"/>
      <c r="D73" s="125"/>
      <c r="E73" s="125"/>
      <c r="F73" s="125"/>
      <c r="G73" s="125"/>
      <c r="H73" s="125"/>
      <c r="I73" s="125"/>
      <c r="J73" s="125"/>
      <c r="K73" s="125"/>
      <c r="L73" s="125"/>
      <c r="M73" s="125"/>
      <c r="N73" s="125"/>
      <c r="O73" s="125"/>
      <c r="P73" s="125"/>
      <c r="Q73" s="125"/>
      <c r="R73" s="125"/>
      <c r="S73" s="125"/>
      <c r="T73" s="125"/>
      <c r="U73" s="125"/>
      <c r="V73" s="125"/>
      <c r="W73" s="125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5"/>
      <c r="AO73" s="125"/>
      <c r="AP73" s="125"/>
      <c r="AQ73" s="128"/>
    </row>
    <row r="74" spans="2:43" ht="12.75" customHeight="1">
      <c r="B74" s="124" t="s">
        <v>18</v>
      </c>
      <c r="C74" s="125" t="str">
        <f t="shared" ref="C74:C76" si="49">C70</f>
        <v>Payment</v>
      </c>
      <c r="D74" s="126">
        <f t="shared" ref="D74:AQ74" si="50">D41+D45+D49</f>
        <v>0</v>
      </c>
      <c r="E74" s="126">
        <f t="shared" si="50"/>
        <v>0</v>
      </c>
      <c r="F74" s="126">
        <f t="shared" si="50"/>
        <v>0</v>
      </c>
      <c r="G74" s="126">
        <f t="shared" si="50"/>
        <v>0</v>
      </c>
      <c r="H74" s="126">
        <f t="shared" si="50"/>
        <v>0</v>
      </c>
      <c r="I74" s="126">
        <f t="shared" si="50"/>
        <v>0</v>
      </c>
      <c r="J74" s="126">
        <f t="shared" si="50"/>
        <v>0</v>
      </c>
      <c r="K74" s="126">
        <f t="shared" si="50"/>
        <v>0</v>
      </c>
      <c r="L74" s="126">
        <f t="shared" si="50"/>
        <v>0</v>
      </c>
      <c r="M74" s="126">
        <f t="shared" si="50"/>
        <v>0</v>
      </c>
      <c r="N74" s="126">
        <f t="shared" si="50"/>
        <v>0</v>
      </c>
      <c r="O74" s="126">
        <f t="shared" si="50"/>
        <v>0</v>
      </c>
      <c r="P74" s="126">
        <f t="shared" si="50"/>
        <v>0</v>
      </c>
      <c r="Q74" s="126">
        <f t="shared" si="50"/>
        <v>0</v>
      </c>
      <c r="R74" s="126">
        <f t="shared" si="50"/>
        <v>0</v>
      </c>
      <c r="S74" s="126">
        <f t="shared" si="50"/>
        <v>0</v>
      </c>
      <c r="T74" s="126">
        <f t="shared" si="50"/>
        <v>0</v>
      </c>
      <c r="U74" s="126">
        <f t="shared" si="50"/>
        <v>0</v>
      </c>
      <c r="V74" s="126">
        <f t="shared" si="50"/>
        <v>0</v>
      </c>
      <c r="W74" s="126">
        <f t="shared" si="50"/>
        <v>0</v>
      </c>
      <c r="X74" s="126">
        <f t="shared" si="50"/>
        <v>0</v>
      </c>
      <c r="Y74" s="126">
        <f t="shared" si="50"/>
        <v>0</v>
      </c>
      <c r="Z74" s="126">
        <f t="shared" si="50"/>
        <v>0</v>
      </c>
      <c r="AA74" s="126">
        <f t="shared" si="50"/>
        <v>0</v>
      </c>
      <c r="AB74" s="126">
        <f t="shared" si="50"/>
        <v>0</v>
      </c>
      <c r="AC74" s="126">
        <f t="shared" si="50"/>
        <v>0</v>
      </c>
      <c r="AD74" s="126">
        <f t="shared" si="50"/>
        <v>0</v>
      </c>
      <c r="AE74" s="126">
        <f t="shared" si="50"/>
        <v>0</v>
      </c>
      <c r="AF74" s="126">
        <f t="shared" si="50"/>
        <v>0</v>
      </c>
      <c r="AG74" s="126">
        <f t="shared" si="50"/>
        <v>0</v>
      </c>
      <c r="AH74" s="126">
        <f t="shared" si="50"/>
        <v>0</v>
      </c>
      <c r="AI74" s="126">
        <f t="shared" si="50"/>
        <v>0</v>
      </c>
      <c r="AJ74" s="126">
        <f t="shared" si="50"/>
        <v>0</v>
      </c>
      <c r="AK74" s="126">
        <f t="shared" si="50"/>
        <v>0</v>
      </c>
      <c r="AL74" s="126">
        <f t="shared" si="50"/>
        <v>0</v>
      </c>
      <c r="AM74" s="126">
        <f t="shared" si="50"/>
        <v>0</v>
      </c>
      <c r="AN74" s="126">
        <f t="shared" si="50"/>
        <v>0</v>
      </c>
      <c r="AO74" s="126">
        <f t="shared" si="50"/>
        <v>0</v>
      </c>
      <c r="AP74" s="126">
        <f t="shared" si="50"/>
        <v>0</v>
      </c>
      <c r="AQ74" s="127">
        <f t="shared" si="50"/>
        <v>0</v>
      </c>
    </row>
    <row r="75" spans="2:43" ht="12.75" customHeight="1">
      <c r="B75" s="124"/>
      <c r="C75" s="125" t="str">
        <f t="shared" si="49"/>
        <v>Interest</v>
      </c>
      <c r="D75" s="126">
        <f t="shared" ref="D75:AQ75" si="51">D42+D46+D50</f>
        <v>0</v>
      </c>
      <c r="E75" s="126">
        <f t="shared" si="51"/>
        <v>0</v>
      </c>
      <c r="F75" s="126">
        <f t="shared" si="51"/>
        <v>0</v>
      </c>
      <c r="G75" s="126">
        <f t="shared" si="51"/>
        <v>0</v>
      </c>
      <c r="H75" s="126">
        <f t="shared" si="51"/>
        <v>0</v>
      </c>
      <c r="I75" s="126">
        <f t="shared" si="51"/>
        <v>0</v>
      </c>
      <c r="J75" s="126">
        <f t="shared" si="51"/>
        <v>0</v>
      </c>
      <c r="K75" s="126">
        <f t="shared" si="51"/>
        <v>0</v>
      </c>
      <c r="L75" s="126">
        <f t="shared" si="51"/>
        <v>0</v>
      </c>
      <c r="M75" s="126">
        <f t="shared" si="51"/>
        <v>0</v>
      </c>
      <c r="N75" s="126">
        <f t="shared" si="51"/>
        <v>0</v>
      </c>
      <c r="O75" s="126">
        <f t="shared" si="51"/>
        <v>0</v>
      </c>
      <c r="P75" s="126">
        <f t="shared" si="51"/>
        <v>0</v>
      </c>
      <c r="Q75" s="126">
        <f t="shared" si="51"/>
        <v>0</v>
      </c>
      <c r="R75" s="126">
        <f t="shared" si="51"/>
        <v>0</v>
      </c>
      <c r="S75" s="126">
        <f t="shared" si="51"/>
        <v>0</v>
      </c>
      <c r="T75" s="126">
        <f t="shared" si="51"/>
        <v>0</v>
      </c>
      <c r="U75" s="126">
        <f t="shared" si="51"/>
        <v>0</v>
      </c>
      <c r="V75" s="126">
        <f t="shared" si="51"/>
        <v>0</v>
      </c>
      <c r="W75" s="126">
        <f t="shared" si="51"/>
        <v>0</v>
      </c>
      <c r="X75" s="126">
        <f t="shared" si="51"/>
        <v>0</v>
      </c>
      <c r="Y75" s="126">
        <f t="shared" si="51"/>
        <v>0</v>
      </c>
      <c r="Z75" s="126">
        <f t="shared" si="51"/>
        <v>0</v>
      </c>
      <c r="AA75" s="126">
        <f t="shared" si="51"/>
        <v>0</v>
      </c>
      <c r="AB75" s="126">
        <f t="shared" si="51"/>
        <v>0</v>
      </c>
      <c r="AC75" s="126">
        <f t="shared" si="51"/>
        <v>0</v>
      </c>
      <c r="AD75" s="126">
        <f t="shared" si="51"/>
        <v>0</v>
      </c>
      <c r="AE75" s="126">
        <f t="shared" si="51"/>
        <v>0</v>
      </c>
      <c r="AF75" s="126">
        <f t="shared" si="51"/>
        <v>0</v>
      </c>
      <c r="AG75" s="126">
        <f t="shared" si="51"/>
        <v>0</v>
      </c>
      <c r="AH75" s="126">
        <f t="shared" si="51"/>
        <v>0</v>
      </c>
      <c r="AI75" s="126">
        <f t="shared" si="51"/>
        <v>0</v>
      </c>
      <c r="AJ75" s="126">
        <f t="shared" si="51"/>
        <v>0</v>
      </c>
      <c r="AK75" s="126">
        <f t="shared" si="51"/>
        <v>0</v>
      </c>
      <c r="AL75" s="126">
        <f t="shared" si="51"/>
        <v>0</v>
      </c>
      <c r="AM75" s="126">
        <f t="shared" si="51"/>
        <v>0</v>
      </c>
      <c r="AN75" s="126">
        <f t="shared" si="51"/>
        <v>0</v>
      </c>
      <c r="AO75" s="126">
        <f t="shared" si="51"/>
        <v>0</v>
      </c>
      <c r="AP75" s="126">
        <f t="shared" si="51"/>
        <v>0</v>
      </c>
      <c r="AQ75" s="127">
        <f t="shared" si="51"/>
        <v>0</v>
      </c>
    </row>
    <row r="76" spans="2:43" ht="12.75" customHeight="1">
      <c r="B76" s="124"/>
      <c r="C76" s="125" t="str">
        <f t="shared" si="49"/>
        <v>Balance</v>
      </c>
      <c r="D76" s="126">
        <f t="shared" ref="D76:AQ76" si="52">D51</f>
        <v>0</v>
      </c>
      <c r="E76" s="126">
        <f t="shared" si="52"/>
        <v>0</v>
      </c>
      <c r="F76" s="126">
        <f t="shared" si="52"/>
        <v>0</v>
      </c>
      <c r="G76" s="126">
        <f t="shared" si="52"/>
        <v>0</v>
      </c>
      <c r="H76" s="126">
        <f t="shared" si="52"/>
        <v>0</v>
      </c>
      <c r="I76" s="126">
        <f t="shared" si="52"/>
        <v>0</v>
      </c>
      <c r="J76" s="126">
        <f t="shared" si="52"/>
        <v>0</v>
      </c>
      <c r="K76" s="126">
        <f t="shared" si="52"/>
        <v>0</v>
      </c>
      <c r="L76" s="126">
        <f t="shared" si="52"/>
        <v>0</v>
      </c>
      <c r="M76" s="126">
        <f t="shared" si="52"/>
        <v>0</v>
      </c>
      <c r="N76" s="126">
        <f t="shared" si="52"/>
        <v>0</v>
      </c>
      <c r="O76" s="126">
        <f t="shared" si="52"/>
        <v>0</v>
      </c>
      <c r="P76" s="126">
        <f t="shared" si="52"/>
        <v>0</v>
      </c>
      <c r="Q76" s="126">
        <f t="shared" si="52"/>
        <v>0</v>
      </c>
      <c r="R76" s="126">
        <f t="shared" si="52"/>
        <v>0</v>
      </c>
      <c r="S76" s="126">
        <f t="shared" si="52"/>
        <v>0</v>
      </c>
      <c r="T76" s="126">
        <f t="shared" si="52"/>
        <v>0</v>
      </c>
      <c r="U76" s="126">
        <f t="shared" si="52"/>
        <v>0</v>
      </c>
      <c r="V76" s="126">
        <f t="shared" si="52"/>
        <v>0</v>
      </c>
      <c r="W76" s="126">
        <f t="shared" si="52"/>
        <v>0</v>
      </c>
      <c r="X76" s="126">
        <f t="shared" si="52"/>
        <v>0</v>
      </c>
      <c r="Y76" s="126">
        <f t="shared" si="52"/>
        <v>0</v>
      </c>
      <c r="Z76" s="126">
        <f t="shared" si="52"/>
        <v>0</v>
      </c>
      <c r="AA76" s="126">
        <f t="shared" si="52"/>
        <v>0</v>
      </c>
      <c r="AB76" s="126">
        <f t="shared" si="52"/>
        <v>0</v>
      </c>
      <c r="AC76" s="126">
        <f t="shared" si="52"/>
        <v>0</v>
      </c>
      <c r="AD76" s="126">
        <f t="shared" si="52"/>
        <v>0</v>
      </c>
      <c r="AE76" s="126">
        <f t="shared" si="52"/>
        <v>0</v>
      </c>
      <c r="AF76" s="126">
        <f t="shared" si="52"/>
        <v>0</v>
      </c>
      <c r="AG76" s="126">
        <f t="shared" si="52"/>
        <v>0</v>
      </c>
      <c r="AH76" s="126">
        <f t="shared" si="52"/>
        <v>0</v>
      </c>
      <c r="AI76" s="126">
        <f t="shared" si="52"/>
        <v>0</v>
      </c>
      <c r="AJ76" s="126">
        <f t="shared" si="52"/>
        <v>0</v>
      </c>
      <c r="AK76" s="126">
        <f t="shared" si="52"/>
        <v>0</v>
      </c>
      <c r="AL76" s="126">
        <f t="shared" si="52"/>
        <v>0</v>
      </c>
      <c r="AM76" s="126">
        <f t="shared" si="52"/>
        <v>0</v>
      </c>
      <c r="AN76" s="126">
        <f t="shared" si="52"/>
        <v>0</v>
      </c>
      <c r="AO76" s="126">
        <f t="shared" si="52"/>
        <v>0</v>
      </c>
      <c r="AP76" s="126">
        <f t="shared" si="52"/>
        <v>0</v>
      </c>
      <c r="AQ76" s="127">
        <f t="shared" si="52"/>
        <v>0</v>
      </c>
    </row>
    <row r="77" spans="2:43" ht="12.75" customHeight="1">
      <c r="B77" s="124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5"/>
      <c r="Z77" s="125"/>
      <c r="AA77" s="125"/>
      <c r="AB77" s="125"/>
      <c r="AC77" s="125"/>
      <c r="AD77" s="125"/>
      <c r="AE77" s="125"/>
      <c r="AF77" s="125"/>
      <c r="AG77" s="125"/>
      <c r="AH77" s="125"/>
      <c r="AI77" s="125"/>
      <c r="AJ77" s="125"/>
      <c r="AK77" s="125"/>
      <c r="AL77" s="125"/>
      <c r="AM77" s="125"/>
      <c r="AN77" s="125"/>
      <c r="AO77" s="125"/>
      <c r="AP77" s="125"/>
      <c r="AQ77" s="128"/>
    </row>
    <row r="78" spans="2:43" ht="12.75" customHeight="1">
      <c r="B78" s="124" t="s">
        <v>19</v>
      </c>
      <c r="C78" s="125" t="str">
        <f t="shared" ref="C78:C80" si="53">C74</f>
        <v>Payment</v>
      </c>
      <c r="D78" s="126">
        <f t="shared" ref="D78:AQ78" si="54">D53+D57+D61</f>
        <v>0</v>
      </c>
      <c r="E78" s="126">
        <f t="shared" si="54"/>
        <v>0</v>
      </c>
      <c r="F78" s="126">
        <f t="shared" si="54"/>
        <v>0</v>
      </c>
      <c r="G78" s="126">
        <f t="shared" si="54"/>
        <v>0</v>
      </c>
      <c r="H78" s="126">
        <f t="shared" si="54"/>
        <v>0</v>
      </c>
      <c r="I78" s="126">
        <f t="shared" si="54"/>
        <v>0</v>
      </c>
      <c r="J78" s="126">
        <f t="shared" si="54"/>
        <v>0</v>
      </c>
      <c r="K78" s="126">
        <f t="shared" si="54"/>
        <v>0</v>
      </c>
      <c r="L78" s="126">
        <f t="shared" si="54"/>
        <v>0</v>
      </c>
      <c r="M78" s="126">
        <f t="shared" si="54"/>
        <v>0</v>
      </c>
      <c r="N78" s="126">
        <f t="shared" si="54"/>
        <v>0</v>
      </c>
      <c r="O78" s="126">
        <f t="shared" si="54"/>
        <v>0</v>
      </c>
      <c r="P78" s="126">
        <f t="shared" si="54"/>
        <v>0</v>
      </c>
      <c r="Q78" s="126">
        <f t="shared" si="54"/>
        <v>0</v>
      </c>
      <c r="R78" s="126">
        <f t="shared" si="54"/>
        <v>0</v>
      </c>
      <c r="S78" s="126">
        <f t="shared" si="54"/>
        <v>0</v>
      </c>
      <c r="T78" s="126">
        <f t="shared" si="54"/>
        <v>0</v>
      </c>
      <c r="U78" s="126">
        <f t="shared" si="54"/>
        <v>0</v>
      </c>
      <c r="V78" s="126">
        <f t="shared" si="54"/>
        <v>0</v>
      </c>
      <c r="W78" s="126">
        <f t="shared" si="54"/>
        <v>0</v>
      </c>
      <c r="X78" s="126">
        <f t="shared" si="54"/>
        <v>0</v>
      </c>
      <c r="Y78" s="126">
        <f t="shared" si="54"/>
        <v>0</v>
      </c>
      <c r="Z78" s="126">
        <f t="shared" si="54"/>
        <v>0</v>
      </c>
      <c r="AA78" s="126">
        <f t="shared" si="54"/>
        <v>0</v>
      </c>
      <c r="AB78" s="126">
        <f t="shared" si="54"/>
        <v>0</v>
      </c>
      <c r="AC78" s="126">
        <f t="shared" si="54"/>
        <v>0</v>
      </c>
      <c r="AD78" s="126">
        <f t="shared" si="54"/>
        <v>0</v>
      </c>
      <c r="AE78" s="126">
        <f t="shared" si="54"/>
        <v>0</v>
      </c>
      <c r="AF78" s="126">
        <f t="shared" si="54"/>
        <v>0</v>
      </c>
      <c r="AG78" s="126">
        <f t="shared" si="54"/>
        <v>0</v>
      </c>
      <c r="AH78" s="126">
        <f t="shared" si="54"/>
        <v>0</v>
      </c>
      <c r="AI78" s="126">
        <f t="shared" si="54"/>
        <v>0</v>
      </c>
      <c r="AJ78" s="126">
        <f t="shared" si="54"/>
        <v>0</v>
      </c>
      <c r="AK78" s="126">
        <f t="shared" si="54"/>
        <v>0</v>
      </c>
      <c r="AL78" s="126">
        <f t="shared" si="54"/>
        <v>0</v>
      </c>
      <c r="AM78" s="126">
        <f t="shared" si="54"/>
        <v>0</v>
      </c>
      <c r="AN78" s="126">
        <f t="shared" si="54"/>
        <v>0</v>
      </c>
      <c r="AO78" s="126">
        <f t="shared" si="54"/>
        <v>0</v>
      </c>
      <c r="AP78" s="126">
        <f t="shared" si="54"/>
        <v>0</v>
      </c>
      <c r="AQ78" s="127">
        <f t="shared" si="54"/>
        <v>0</v>
      </c>
    </row>
    <row r="79" spans="2:43" ht="12.75" customHeight="1">
      <c r="B79" s="124"/>
      <c r="C79" s="125" t="str">
        <f t="shared" si="53"/>
        <v>Interest</v>
      </c>
      <c r="D79" s="126">
        <f t="shared" ref="D79:AQ79" si="55">D54+D58+D62</f>
        <v>0</v>
      </c>
      <c r="E79" s="126">
        <f t="shared" si="55"/>
        <v>0</v>
      </c>
      <c r="F79" s="126">
        <f t="shared" si="55"/>
        <v>0</v>
      </c>
      <c r="G79" s="126">
        <f t="shared" si="55"/>
        <v>0</v>
      </c>
      <c r="H79" s="126">
        <f t="shared" si="55"/>
        <v>0</v>
      </c>
      <c r="I79" s="126">
        <f t="shared" si="55"/>
        <v>0</v>
      </c>
      <c r="J79" s="126">
        <f t="shared" si="55"/>
        <v>0</v>
      </c>
      <c r="K79" s="126">
        <f t="shared" si="55"/>
        <v>0</v>
      </c>
      <c r="L79" s="126">
        <f t="shared" si="55"/>
        <v>0</v>
      </c>
      <c r="M79" s="126">
        <f t="shared" si="55"/>
        <v>0</v>
      </c>
      <c r="N79" s="126">
        <f t="shared" si="55"/>
        <v>0</v>
      </c>
      <c r="O79" s="126">
        <f t="shared" si="55"/>
        <v>0</v>
      </c>
      <c r="P79" s="126">
        <f t="shared" si="55"/>
        <v>0</v>
      </c>
      <c r="Q79" s="126">
        <f t="shared" si="55"/>
        <v>0</v>
      </c>
      <c r="R79" s="126">
        <f t="shared" si="55"/>
        <v>0</v>
      </c>
      <c r="S79" s="126">
        <f t="shared" si="55"/>
        <v>0</v>
      </c>
      <c r="T79" s="126">
        <f t="shared" si="55"/>
        <v>0</v>
      </c>
      <c r="U79" s="126">
        <f t="shared" si="55"/>
        <v>0</v>
      </c>
      <c r="V79" s="126">
        <f t="shared" si="55"/>
        <v>0</v>
      </c>
      <c r="W79" s="126">
        <f t="shared" si="55"/>
        <v>0</v>
      </c>
      <c r="X79" s="126">
        <f t="shared" si="55"/>
        <v>0</v>
      </c>
      <c r="Y79" s="126">
        <f t="shared" si="55"/>
        <v>0</v>
      </c>
      <c r="Z79" s="126">
        <f t="shared" si="55"/>
        <v>0</v>
      </c>
      <c r="AA79" s="126">
        <f t="shared" si="55"/>
        <v>0</v>
      </c>
      <c r="AB79" s="126">
        <f t="shared" si="55"/>
        <v>0</v>
      </c>
      <c r="AC79" s="126">
        <f t="shared" si="55"/>
        <v>0</v>
      </c>
      <c r="AD79" s="126">
        <f t="shared" si="55"/>
        <v>0</v>
      </c>
      <c r="AE79" s="126">
        <f t="shared" si="55"/>
        <v>0</v>
      </c>
      <c r="AF79" s="126">
        <f t="shared" si="55"/>
        <v>0</v>
      </c>
      <c r="AG79" s="126">
        <f t="shared" si="55"/>
        <v>0</v>
      </c>
      <c r="AH79" s="126">
        <f t="shared" si="55"/>
        <v>0</v>
      </c>
      <c r="AI79" s="126">
        <f t="shared" si="55"/>
        <v>0</v>
      </c>
      <c r="AJ79" s="126">
        <f t="shared" si="55"/>
        <v>0</v>
      </c>
      <c r="AK79" s="126">
        <f t="shared" si="55"/>
        <v>0</v>
      </c>
      <c r="AL79" s="126">
        <f t="shared" si="55"/>
        <v>0</v>
      </c>
      <c r="AM79" s="126">
        <f t="shared" si="55"/>
        <v>0</v>
      </c>
      <c r="AN79" s="126">
        <f t="shared" si="55"/>
        <v>0</v>
      </c>
      <c r="AO79" s="126">
        <f t="shared" si="55"/>
        <v>0</v>
      </c>
      <c r="AP79" s="126">
        <f t="shared" si="55"/>
        <v>0</v>
      </c>
      <c r="AQ79" s="127">
        <f t="shared" si="55"/>
        <v>0</v>
      </c>
    </row>
    <row r="80" spans="2:43" ht="12.75" customHeight="1">
      <c r="B80" s="129"/>
      <c r="C80" s="130" t="str">
        <f t="shared" si="53"/>
        <v>Balance</v>
      </c>
      <c r="D80" s="131">
        <f t="shared" ref="D80:AQ80" si="56">D63</f>
        <v>0</v>
      </c>
      <c r="E80" s="131">
        <f t="shared" si="56"/>
        <v>0</v>
      </c>
      <c r="F80" s="131">
        <f t="shared" si="56"/>
        <v>0</v>
      </c>
      <c r="G80" s="131">
        <f t="shared" si="56"/>
        <v>0</v>
      </c>
      <c r="H80" s="131">
        <f t="shared" si="56"/>
        <v>0</v>
      </c>
      <c r="I80" s="131">
        <f t="shared" si="56"/>
        <v>0</v>
      </c>
      <c r="J80" s="131">
        <f t="shared" si="56"/>
        <v>0</v>
      </c>
      <c r="K80" s="131">
        <f t="shared" si="56"/>
        <v>0</v>
      </c>
      <c r="L80" s="131">
        <f t="shared" si="56"/>
        <v>0</v>
      </c>
      <c r="M80" s="131">
        <f t="shared" si="56"/>
        <v>0</v>
      </c>
      <c r="N80" s="131">
        <f t="shared" si="56"/>
        <v>0</v>
      </c>
      <c r="O80" s="131">
        <f t="shared" si="56"/>
        <v>0</v>
      </c>
      <c r="P80" s="131">
        <f t="shared" si="56"/>
        <v>0</v>
      </c>
      <c r="Q80" s="131">
        <f t="shared" si="56"/>
        <v>0</v>
      </c>
      <c r="R80" s="131">
        <f t="shared" si="56"/>
        <v>0</v>
      </c>
      <c r="S80" s="131">
        <f t="shared" si="56"/>
        <v>0</v>
      </c>
      <c r="T80" s="131">
        <f t="shared" si="56"/>
        <v>0</v>
      </c>
      <c r="U80" s="131">
        <f t="shared" si="56"/>
        <v>0</v>
      </c>
      <c r="V80" s="131">
        <f t="shared" si="56"/>
        <v>0</v>
      </c>
      <c r="W80" s="131">
        <f t="shared" si="56"/>
        <v>0</v>
      </c>
      <c r="X80" s="131">
        <f t="shared" si="56"/>
        <v>0</v>
      </c>
      <c r="Y80" s="131">
        <f t="shared" si="56"/>
        <v>0</v>
      </c>
      <c r="Z80" s="131">
        <f t="shared" si="56"/>
        <v>0</v>
      </c>
      <c r="AA80" s="131">
        <f t="shared" si="56"/>
        <v>0</v>
      </c>
      <c r="AB80" s="131">
        <f t="shared" si="56"/>
        <v>0</v>
      </c>
      <c r="AC80" s="131">
        <f t="shared" si="56"/>
        <v>0</v>
      </c>
      <c r="AD80" s="131">
        <f t="shared" si="56"/>
        <v>0</v>
      </c>
      <c r="AE80" s="131">
        <f t="shared" si="56"/>
        <v>0</v>
      </c>
      <c r="AF80" s="131">
        <f t="shared" si="56"/>
        <v>0</v>
      </c>
      <c r="AG80" s="131">
        <f t="shared" si="56"/>
        <v>0</v>
      </c>
      <c r="AH80" s="131">
        <f t="shared" si="56"/>
        <v>0</v>
      </c>
      <c r="AI80" s="131">
        <f t="shared" si="56"/>
        <v>0</v>
      </c>
      <c r="AJ80" s="131">
        <f t="shared" si="56"/>
        <v>0</v>
      </c>
      <c r="AK80" s="131">
        <f t="shared" si="56"/>
        <v>0</v>
      </c>
      <c r="AL80" s="131">
        <f t="shared" si="56"/>
        <v>0</v>
      </c>
      <c r="AM80" s="131">
        <f t="shared" si="56"/>
        <v>0</v>
      </c>
      <c r="AN80" s="131">
        <f t="shared" si="56"/>
        <v>0</v>
      </c>
      <c r="AO80" s="131">
        <f t="shared" si="56"/>
        <v>0</v>
      </c>
      <c r="AP80" s="131">
        <f t="shared" si="56"/>
        <v>0</v>
      </c>
      <c r="AQ80" s="132">
        <f t="shared" si="56"/>
        <v>0</v>
      </c>
    </row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B2:F2"/>
    <mergeCell ref="D4:E4"/>
  </mergeCells>
  <dataValidations count="1">
    <dataValidation type="list" allowBlank="1" showInputMessage="1" showErrorMessage="1" prompt=" - " sqref="E5">
      <formula1>"Yes,No"</formula1>
    </dataValidation>
  </dataValidations>
  <pageMargins left="0.7" right="0.7" top="0.75" bottom="0.75" header="0" footer="0"/>
  <pageSetup orientation="landscape" r:id="rId1"/>
  <headerFooter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1:AU28"/>
  <sheetViews>
    <sheetView workbookViewId="0">
      <selection activeCell="C8" sqref="C8"/>
    </sheetView>
  </sheetViews>
  <sheetFormatPr defaultColWidth="12.7109375" defaultRowHeight="15.75" customHeight="1"/>
  <cols>
    <col min="1" max="1" width="2.28515625" customWidth="1"/>
    <col min="2" max="2" width="25" bestFit="1" customWidth="1"/>
    <col min="3" max="6" width="7.7109375" bestFit="1" customWidth="1"/>
    <col min="7" max="7" width="2" bestFit="1" customWidth="1"/>
    <col min="8" max="12" width="7.7109375" bestFit="1" customWidth="1"/>
    <col min="13" max="13" width="7.7109375" style="478" bestFit="1" customWidth="1"/>
    <col min="14" max="33" width="7.7109375" bestFit="1" customWidth="1"/>
    <col min="34" max="36" width="7.140625" bestFit="1" customWidth="1"/>
    <col min="37" max="37" width="7.7109375" bestFit="1" customWidth="1"/>
    <col min="38" max="41" width="8.7109375" bestFit="1" customWidth="1"/>
    <col min="42" max="44" width="7.7109375" bestFit="1" customWidth="1"/>
    <col min="45" max="46" width="7.140625" bestFit="1" customWidth="1"/>
    <col min="47" max="47" width="7.7109375" bestFit="1" customWidth="1"/>
  </cols>
  <sheetData>
    <row r="1" spans="2:47" ht="16.5" customHeight="1"/>
    <row r="2" spans="2:47" ht="24" thickBot="1">
      <c r="B2" s="756" t="s">
        <v>209</v>
      </c>
      <c r="C2" s="736"/>
      <c r="D2" s="736"/>
      <c r="E2" s="736"/>
      <c r="F2" s="736"/>
      <c r="G2" s="736"/>
      <c r="H2" s="736"/>
      <c r="I2" s="736"/>
      <c r="J2" s="736"/>
      <c r="K2" s="736"/>
      <c r="L2" s="736"/>
      <c r="M2" s="563"/>
      <c r="N2" s="563"/>
      <c r="O2" s="563"/>
      <c r="P2" s="563"/>
      <c r="Q2" s="563"/>
      <c r="R2" s="563"/>
      <c r="S2" s="563"/>
      <c r="T2" s="563"/>
      <c r="U2" s="563"/>
      <c r="V2" s="563"/>
      <c r="W2" s="563"/>
      <c r="X2" s="563"/>
      <c r="Y2" s="563"/>
      <c r="Z2" s="563"/>
      <c r="AA2" s="563"/>
      <c r="AB2" s="563"/>
      <c r="AC2" s="563"/>
      <c r="AD2" s="563"/>
      <c r="AE2" s="563"/>
      <c r="AF2" s="563"/>
      <c r="AG2" s="563"/>
      <c r="AH2" s="563"/>
      <c r="AI2" s="563"/>
      <c r="AJ2" s="563"/>
      <c r="AK2" s="563"/>
      <c r="AL2" s="563"/>
      <c r="AM2" s="563"/>
      <c r="AN2" s="563"/>
      <c r="AO2" s="563"/>
      <c r="AP2" s="563"/>
      <c r="AQ2" s="563"/>
      <c r="AR2" s="563"/>
      <c r="AS2" s="563"/>
      <c r="AT2" s="563"/>
      <c r="AU2" s="563"/>
    </row>
    <row r="3" spans="2:47" ht="15.75" customHeight="1">
      <c r="B3" s="548"/>
      <c r="C3" s="549" t="str">
        <f>'P&amp;L'!C2</f>
        <v>Q1</v>
      </c>
      <c r="D3" s="549" t="str">
        <f>'P&amp;L'!D2</f>
        <v>Q2</v>
      </c>
      <c r="E3" s="549" t="str">
        <f>'P&amp;L'!E2</f>
        <v>Q3</v>
      </c>
      <c r="F3" s="550" t="str">
        <f>'P&amp;L'!F2</f>
        <v>Q4</v>
      </c>
      <c r="G3" s="6">
        <f>'P&amp;L'!G2</f>
        <v>0</v>
      </c>
      <c r="H3" s="556" t="str">
        <f>'P&amp;L'!H2</f>
        <v>Year 1</v>
      </c>
      <c r="I3" s="549" t="str">
        <f>'P&amp;L'!I2</f>
        <v>Year 2</v>
      </c>
      <c r="J3" s="549" t="str">
        <f>'P&amp;L'!J2</f>
        <v>Year 3</v>
      </c>
      <c r="K3" s="549" t="str">
        <f>'P&amp;L'!K2</f>
        <v>Year 4</v>
      </c>
      <c r="L3" s="550" t="str">
        <f>'P&amp;L'!L2</f>
        <v>Year 5</v>
      </c>
      <c r="M3" s="550">
        <v>6</v>
      </c>
      <c r="N3" s="550">
        <f>M3+1</f>
        <v>7</v>
      </c>
      <c r="O3" s="550">
        <f t="shared" ref="O3:Q3" si="0">N3+1</f>
        <v>8</v>
      </c>
      <c r="P3" s="550">
        <f t="shared" si="0"/>
        <v>9</v>
      </c>
      <c r="Q3" s="550">
        <f t="shared" si="0"/>
        <v>10</v>
      </c>
      <c r="R3" s="550">
        <f t="shared" ref="R3:U3" si="1">Q3+1</f>
        <v>11</v>
      </c>
      <c r="S3" s="550">
        <f t="shared" si="1"/>
        <v>12</v>
      </c>
      <c r="T3" s="550">
        <f t="shared" si="1"/>
        <v>13</v>
      </c>
      <c r="U3" s="550">
        <f t="shared" si="1"/>
        <v>14</v>
      </c>
      <c r="V3" s="550">
        <f t="shared" ref="V3:AU3" si="2">U3+1</f>
        <v>15</v>
      </c>
      <c r="W3" s="550">
        <f t="shared" si="2"/>
        <v>16</v>
      </c>
      <c r="X3" s="550">
        <f t="shared" si="2"/>
        <v>17</v>
      </c>
      <c r="Y3" s="550">
        <f t="shared" si="2"/>
        <v>18</v>
      </c>
      <c r="Z3" s="550">
        <f t="shared" si="2"/>
        <v>19</v>
      </c>
      <c r="AA3" s="550">
        <f t="shared" si="2"/>
        <v>20</v>
      </c>
      <c r="AB3" s="550">
        <f t="shared" si="2"/>
        <v>21</v>
      </c>
      <c r="AC3" s="550">
        <f t="shared" si="2"/>
        <v>22</v>
      </c>
      <c r="AD3" s="550">
        <f t="shared" si="2"/>
        <v>23</v>
      </c>
      <c r="AE3" s="550">
        <f t="shared" si="2"/>
        <v>24</v>
      </c>
      <c r="AF3" s="550">
        <f t="shared" si="2"/>
        <v>25</v>
      </c>
      <c r="AG3" s="550">
        <f t="shared" si="2"/>
        <v>26</v>
      </c>
      <c r="AH3" s="550">
        <f t="shared" si="2"/>
        <v>27</v>
      </c>
      <c r="AI3" s="550">
        <f t="shared" si="2"/>
        <v>28</v>
      </c>
      <c r="AJ3" s="550">
        <f t="shared" si="2"/>
        <v>29</v>
      </c>
      <c r="AK3" s="550">
        <f t="shared" si="2"/>
        <v>30</v>
      </c>
      <c r="AL3" s="550">
        <f t="shared" si="2"/>
        <v>31</v>
      </c>
      <c r="AM3" s="550">
        <f t="shared" si="2"/>
        <v>32</v>
      </c>
      <c r="AN3" s="550">
        <f t="shared" si="2"/>
        <v>33</v>
      </c>
      <c r="AO3" s="550">
        <f t="shared" si="2"/>
        <v>34</v>
      </c>
      <c r="AP3" s="550">
        <f t="shared" si="2"/>
        <v>35</v>
      </c>
      <c r="AQ3" s="550">
        <f t="shared" si="2"/>
        <v>36</v>
      </c>
      <c r="AR3" s="550">
        <f t="shared" si="2"/>
        <v>37</v>
      </c>
      <c r="AS3" s="550">
        <f t="shared" si="2"/>
        <v>38</v>
      </c>
      <c r="AT3" s="550">
        <f t="shared" si="2"/>
        <v>39</v>
      </c>
      <c r="AU3" s="550">
        <f t="shared" si="2"/>
        <v>40</v>
      </c>
    </row>
    <row r="4" spans="2:47" ht="15.75" customHeight="1">
      <c r="B4" s="253" t="s">
        <v>38</v>
      </c>
      <c r="C4" s="482">
        <f>'P&amp;L'!C32</f>
        <v>-13958.734899999999</v>
      </c>
      <c r="D4" s="482">
        <f>'P&amp;L'!D32</f>
        <v>3691.2650999999996</v>
      </c>
      <c r="E4" s="482">
        <f>'P&amp;L'!E32</f>
        <v>3691.2650999999996</v>
      </c>
      <c r="F4" s="551">
        <f>'P&amp;L'!F32</f>
        <v>3691.2650999999996</v>
      </c>
      <c r="G4" s="12"/>
      <c r="H4" s="557">
        <f>SUM(C4:F4)</f>
        <v>-2884.9395999999997</v>
      </c>
      <c r="I4" s="482">
        <f ca="1">'P&amp;L'!I32</f>
        <v>5339.5215432000005</v>
      </c>
      <c r="J4" s="482">
        <f ca="1">'P&amp;L'!J32</f>
        <v>6014.8477194695952</v>
      </c>
      <c r="K4" s="482">
        <f ca="1">'P&amp;L'!K32</f>
        <v>6724.9631268040466</v>
      </c>
      <c r="L4" s="551">
        <f ca="1">'P&amp;L'!L32</f>
        <v>7471.320904390479</v>
      </c>
      <c r="M4" s="551">
        <f ca="1">'Financial Model'!P28</f>
        <v>8244.9847484240927</v>
      </c>
      <c r="N4" s="551">
        <f ca="1">'Financial Model'!P29</f>
        <v>8962.8992852306237</v>
      </c>
      <c r="O4" s="551">
        <f ca="1">'Financial Model'!P30</f>
        <v>9556.9245376529507</v>
      </c>
      <c r="P4" s="551">
        <f ca="1">'Financial Model'!P31</f>
        <v>10169.497850725795</v>
      </c>
      <c r="Q4" s="551">
        <f ca="1">'Financial Model'!P32</f>
        <v>-17766.733392294445</v>
      </c>
      <c r="R4" s="551">
        <f ca="1">'Financial Model'!P33</f>
        <v>10638.325775057827</v>
      </c>
      <c r="S4" s="551">
        <f ca="1">'Financial Model'!P34</f>
        <v>11331.699121074971</v>
      </c>
      <c r="T4" s="551">
        <f ca="1">'Financial Model'!P35</f>
        <v>12049.691161270546</v>
      </c>
      <c r="U4" s="551">
        <f ca="1">'Financial Model'!P36</f>
        <v>14769.132620569566</v>
      </c>
      <c r="V4" s="551">
        <f ca="1">'Financial Model'!P37</f>
        <v>15865.295832760341</v>
      </c>
      <c r="W4" s="551">
        <f ca="1">'Financial Model'!P38</f>
        <v>17008.375963594332</v>
      </c>
      <c r="X4" s="551">
        <f ca="1">'Financial Model'!P39</f>
        <v>18200.084485979038</v>
      </c>
      <c r="Y4" s="551">
        <f ca="1">'Financial Model'!P40</f>
        <v>19442.190549271334</v>
      </c>
      <c r="Z4" s="551">
        <f ca="1">'Financial Model'!P41</f>
        <v>20736.522833486888</v>
      </c>
      <c r="AA4" s="551">
        <f ca="1">'Financial Model'!P42</f>
        <v>-14484.1515354277</v>
      </c>
      <c r="AB4" s="551">
        <f ca="1">'Financial Model'!P43</f>
        <v>22500.250617002486</v>
      </c>
      <c r="AC4" s="551">
        <f ca="1">'Financial Model'!P44</f>
        <v>24039.429137218951</v>
      </c>
      <c r="AD4" s="551">
        <f ca="1">'Financial Model'!P45</f>
        <v>25540.034064265757</v>
      </c>
      <c r="AE4" s="551">
        <f ca="1">'Financial Model'!P46</f>
        <v>27102.431693368962</v>
      </c>
      <c r="AF4" s="551">
        <f ca="1">'Financial Model'!P47</f>
        <v>28728.837093552676</v>
      </c>
      <c r="AG4" s="551">
        <f ca="1">'Financial Model'!P48</f>
        <v>30430.809757035015</v>
      </c>
      <c r="AH4" s="551">
        <f ca="1">'Financial Model'!P49</f>
        <v>32192.399190703552</v>
      </c>
      <c r="AI4" s="551">
        <f ca="1">'Financial Model'!P50</f>
        <v>34025.100069164881</v>
      </c>
      <c r="AJ4" s="551">
        <f ca="1">'Financial Model'!P51</f>
        <v>35931.437706540266</v>
      </c>
      <c r="AK4" s="551">
        <f ca="1">'Financial Model'!P52</f>
        <v>-8897.547916995085</v>
      </c>
      <c r="AL4" s="551">
        <f ca="1">'Financial Model'!P52</f>
        <v>-8897.547916995085</v>
      </c>
      <c r="AM4" s="551">
        <f ca="1">'Financial Model'!P54</f>
        <v>41086.132384002995</v>
      </c>
      <c r="AN4" s="551">
        <f ca="1">'Financial Model'!P55</f>
        <v>43424.52517831781</v>
      </c>
      <c r="AO4" s="551">
        <f ca="1">'Financial Model'!P56</f>
        <v>45716.597084074114</v>
      </c>
      <c r="AP4" s="551">
        <f ca="1">'Financial Model'!P57</f>
        <v>48098.746352799935</v>
      </c>
      <c r="AQ4" s="551">
        <f ca="1">'Financial Model'!P58</f>
        <v>50574.130176084618</v>
      </c>
      <c r="AR4" s="551">
        <f ca="1">'Financial Model'!P59</f>
        <v>53146.009719780704</v>
      </c>
      <c r="AS4" s="551">
        <f ca="1">'Financial Model'!P60</f>
        <v>55817.753417249121</v>
      </c>
      <c r="AT4" s="551">
        <f ca="1">'Financial Model'!P61</f>
        <v>58592.84036418586</v>
      </c>
      <c r="AU4" s="551">
        <f ca="1">'Financial Model'!P62</f>
        <v>1552.0976686693903</v>
      </c>
    </row>
    <row r="5" spans="2:47" ht="15.75" customHeight="1">
      <c r="B5" s="253" t="s">
        <v>210</v>
      </c>
      <c r="C5" s="482"/>
      <c r="D5" s="482"/>
      <c r="E5" s="482"/>
      <c r="F5" s="551"/>
      <c r="G5" s="12"/>
      <c r="H5" s="557"/>
      <c r="I5" s="482"/>
      <c r="J5" s="482"/>
      <c r="K5" s="482"/>
      <c r="L5" s="551"/>
      <c r="M5" s="551"/>
      <c r="N5" s="551"/>
      <c r="O5" s="551"/>
      <c r="P5" s="551"/>
      <c r="Q5" s="551"/>
      <c r="R5" s="551"/>
      <c r="S5" s="551"/>
      <c r="T5" s="551"/>
      <c r="U5" s="551"/>
      <c r="V5" s="551"/>
      <c r="W5" s="551"/>
      <c r="X5" s="551"/>
      <c r="Y5" s="551"/>
      <c r="Z5" s="551"/>
      <c r="AA5" s="551"/>
      <c r="AB5" s="551"/>
      <c r="AC5" s="551"/>
      <c r="AD5" s="551"/>
      <c r="AE5" s="551"/>
      <c r="AF5" s="551"/>
      <c r="AG5" s="551"/>
      <c r="AH5" s="551"/>
      <c r="AI5" s="551"/>
      <c r="AJ5" s="551"/>
      <c r="AK5" s="551"/>
      <c r="AL5" s="551"/>
      <c r="AM5" s="551"/>
      <c r="AN5" s="551"/>
      <c r="AO5" s="551"/>
      <c r="AP5" s="551"/>
      <c r="AQ5" s="551"/>
      <c r="AR5" s="551"/>
      <c r="AS5" s="551"/>
      <c r="AT5" s="551"/>
      <c r="AU5" s="551"/>
    </row>
    <row r="6" spans="2:47" ht="15.75" customHeight="1">
      <c r="B6" s="495" t="s">
        <v>42</v>
      </c>
      <c r="C6" s="482">
        <f ca="1">'P&amp;L'!C39</f>
        <v>-791.66666666666663</v>
      </c>
      <c r="D6" s="482">
        <f ca="1">'P&amp;L'!D39</f>
        <v>-791.66666666666663</v>
      </c>
      <c r="E6" s="482">
        <f ca="1">'P&amp;L'!E39</f>
        <v>-791.66666666666663</v>
      </c>
      <c r="F6" s="551">
        <f ca="1">'P&amp;L'!F39</f>
        <v>-791.66666666666663</v>
      </c>
      <c r="G6" s="12"/>
      <c r="H6" s="557">
        <f ca="1">'P&amp;L'!H39</f>
        <v>-3166.6666666666665</v>
      </c>
      <c r="I6" s="482">
        <f ca="1">'P&amp;L'!I39</f>
        <v>-3166.666666666667</v>
      </c>
      <c r="J6" s="482">
        <f ca="1">'P&amp;L'!J39</f>
        <v>-3166.666666666667</v>
      </c>
      <c r="K6" s="482">
        <f ca="1">'P&amp;L'!K39</f>
        <v>-3166.666666666667</v>
      </c>
      <c r="L6" s="551">
        <f ca="1">'P&amp;L'!L39</f>
        <v>-3166.666666666667</v>
      </c>
      <c r="M6" s="551">
        <f ca="1">'P&amp;L'!M39</f>
        <v>-3166.666666666667</v>
      </c>
      <c r="N6" s="551">
        <f ca="1">'P&amp;L'!N39</f>
        <v>-3166.666666666667</v>
      </c>
      <c r="O6" s="551">
        <f ca="1">'P&amp;L'!O39</f>
        <v>-3166.666666666667</v>
      </c>
      <c r="P6" s="551">
        <f ca="1">'P&amp;L'!P39</f>
        <v>-3166.666666666667</v>
      </c>
      <c r="Q6" s="551">
        <f ca="1">'P&amp;L'!Q39</f>
        <v>-3166.666666666667</v>
      </c>
      <c r="R6" s="551">
        <f ca="1">'P&amp;L'!R39</f>
        <v>-3166.666666666667</v>
      </c>
      <c r="S6" s="551">
        <f ca="1">'P&amp;L'!S39</f>
        <v>-3166.666666666667</v>
      </c>
      <c r="T6" s="551">
        <f ca="1">'P&amp;L'!T39</f>
        <v>-3166.666666666667</v>
      </c>
      <c r="U6" s="551">
        <f ca="1">'P&amp;L'!U39</f>
        <v>-3166.666666666667</v>
      </c>
      <c r="V6" s="551">
        <f ca="1">'P&amp;L'!V39</f>
        <v>-3166.666666666667</v>
      </c>
      <c r="W6" s="551">
        <f ca="1">'P&amp;L'!W39</f>
        <v>-3166.666666666667</v>
      </c>
      <c r="X6" s="551">
        <f ca="1">'P&amp;L'!X39</f>
        <v>-3166.666666666667</v>
      </c>
      <c r="Y6" s="551">
        <f ca="1">'P&amp;L'!Y39</f>
        <v>-3166.666666666667</v>
      </c>
      <c r="Z6" s="551">
        <f ca="1">'P&amp;L'!Z39</f>
        <v>-3166.666666666667</v>
      </c>
      <c r="AA6" s="551">
        <f ca="1">'P&amp;L'!AA39</f>
        <v>-3166.666666666667</v>
      </c>
      <c r="AB6" s="551">
        <f ca="1">'P&amp;L'!AB39</f>
        <v>-3166.666666666667</v>
      </c>
      <c r="AC6" s="551">
        <f ca="1">'P&amp;L'!AC39</f>
        <v>-3166.666666666667</v>
      </c>
      <c r="AD6" s="551">
        <f ca="1">'P&amp;L'!AD39</f>
        <v>-3166.666666666667</v>
      </c>
      <c r="AE6" s="551">
        <f ca="1">'P&amp;L'!AE39</f>
        <v>-3166.666666666667</v>
      </c>
      <c r="AF6" s="551">
        <f ca="1">'P&amp;L'!AF39</f>
        <v>-3166.666666666667</v>
      </c>
      <c r="AG6" s="551">
        <f ca="1">'P&amp;L'!AG39</f>
        <v>-3166.666666666667</v>
      </c>
      <c r="AH6" s="551">
        <f ca="1">'P&amp;L'!AH39</f>
        <v>-3166.666666666667</v>
      </c>
      <c r="AI6" s="551">
        <f ca="1">'P&amp;L'!AI39</f>
        <v>-3166.666666666667</v>
      </c>
      <c r="AJ6" s="551">
        <f ca="1">'P&amp;L'!AJ39</f>
        <v>-3166.666666666667</v>
      </c>
      <c r="AK6" s="551">
        <f ca="1">'P&amp;L'!AK39</f>
        <v>-3166.666666666667</v>
      </c>
      <c r="AL6" s="551">
        <f ca="1">'P&amp;L'!AL39</f>
        <v>-3000</v>
      </c>
      <c r="AM6" s="551">
        <f ca="1">'P&amp;L'!AM39</f>
        <v>-3000</v>
      </c>
      <c r="AN6" s="551">
        <f ca="1">'P&amp;L'!AN39</f>
        <v>-3000</v>
      </c>
      <c r="AO6" s="551">
        <f ca="1">'P&amp;L'!AO39</f>
        <v>-3000</v>
      </c>
      <c r="AP6" s="551">
        <f ca="1">'P&amp;L'!AP39</f>
        <v>-3000</v>
      </c>
      <c r="AQ6" s="551">
        <f ca="1">'P&amp;L'!AQ39</f>
        <v>-3000</v>
      </c>
      <c r="AR6" s="551">
        <f ca="1">'P&amp;L'!AR39</f>
        <v>-3000</v>
      </c>
      <c r="AS6" s="551">
        <f ca="1">'P&amp;L'!AS39</f>
        <v>-3000</v>
      </c>
      <c r="AT6" s="551">
        <f ca="1">'P&amp;L'!AT39</f>
        <v>-3000</v>
      </c>
      <c r="AU6" s="551">
        <f ca="1">'P&amp;L'!AU39</f>
        <v>-3000</v>
      </c>
    </row>
    <row r="7" spans="2:47" ht="15.75" customHeight="1">
      <c r="B7" s="253" t="s">
        <v>211</v>
      </c>
      <c r="C7" s="482"/>
      <c r="D7" s="482"/>
      <c r="E7" s="482"/>
      <c r="F7" s="551"/>
      <c r="G7" s="12"/>
      <c r="H7" s="557">
        <f t="shared" ref="H7:H9" si="3">SUM(C7:F7)</f>
        <v>0</v>
      </c>
      <c r="I7" s="482"/>
      <c r="J7" s="482"/>
      <c r="K7" s="482"/>
      <c r="L7" s="551"/>
      <c r="M7" s="551"/>
      <c r="N7" s="551"/>
      <c r="O7" s="551"/>
      <c r="P7" s="551"/>
      <c r="Q7" s="551"/>
      <c r="R7" s="551"/>
      <c r="S7" s="551"/>
      <c r="T7" s="551"/>
      <c r="U7" s="551"/>
      <c r="V7" s="551"/>
      <c r="W7" s="551"/>
      <c r="X7" s="551"/>
      <c r="Y7" s="551"/>
      <c r="Z7" s="551"/>
      <c r="AA7" s="551"/>
      <c r="AB7" s="551"/>
      <c r="AC7" s="551"/>
      <c r="AD7" s="551"/>
      <c r="AE7" s="551"/>
      <c r="AF7" s="551"/>
      <c r="AG7" s="551"/>
      <c r="AH7" s="551"/>
      <c r="AI7" s="551"/>
      <c r="AJ7" s="551"/>
      <c r="AK7" s="551"/>
      <c r="AL7" s="551"/>
      <c r="AM7" s="551"/>
      <c r="AN7" s="551"/>
      <c r="AO7" s="551"/>
      <c r="AP7" s="551"/>
      <c r="AQ7" s="551"/>
      <c r="AR7" s="551"/>
      <c r="AS7" s="551"/>
      <c r="AT7" s="551"/>
      <c r="AU7" s="551"/>
    </row>
    <row r="8" spans="2:47" ht="15.75" customHeight="1">
      <c r="B8" s="253" t="s">
        <v>212</v>
      </c>
      <c r="C8" s="482">
        <f>-'Start Up Costs'!J4+'Start Up Costs'!F14</f>
        <v>-5000</v>
      </c>
      <c r="D8" s="482"/>
      <c r="E8" s="482"/>
      <c r="F8" s="551"/>
      <c r="G8" s="12"/>
      <c r="H8" s="561">
        <f t="shared" si="3"/>
        <v>-5000</v>
      </c>
      <c r="I8" s="560"/>
      <c r="J8" s="560"/>
      <c r="K8" s="560"/>
      <c r="L8" s="562"/>
      <c r="M8" s="562"/>
      <c r="N8" s="562"/>
      <c r="O8" s="562"/>
      <c r="P8" s="562"/>
      <c r="Q8" s="562"/>
      <c r="R8" s="562"/>
      <c r="S8" s="562"/>
      <c r="T8" s="562"/>
      <c r="U8" s="562"/>
      <c r="V8" s="562"/>
      <c r="W8" s="562"/>
      <c r="X8" s="562"/>
      <c r="Y8" s="562"/>
      <c r="Z8" s="562"/>
      <c r="AA8" s="562"/>
      <c r="AB8" s="562"/>
      <c r="AC8" s="562"/>
      <c r="AD8" s="562"/>
      <c r="AE8" s="562"/>
      <c r="AF8" s="562"/>
      <c r="AG8" s="562"/>
      <c r="AH8" s="562"/>
      <c r="AI8" s="562"/>
      <c r="AJ8" s="562"/>
      <c r="AK8" s="562"/>
      <c r="AL8" s="562"/>
      <c r="AM8" s="562"/>
      <c r="AN8" s="562"/>
      <c r="AO8" s="562"/>
      <c r="AP8" s="562"/>
      <c r="AQ8" s="562"/>
      <c r="AR8" s="562"/>
      <c r="AS8" s="562"/>
      <c r="AT8" s="562"/>
      <c r="AU8" s="562"/>
    </row>
    <row r="9" spans="2:47" ht="15.75" customHeight="1">
      <c r="B9" s="253" t="s">
        <v>213</v>
      </c>
      <c r="C9" s="552">
        <f t="shared" ref="C9:F9" ca="1" si="4">SUM(C4:C8)</f>
        <v>-19750.401566666667</v>
      </c>
      <c r="D9" s="552">
        <f t="shared" ca="1" si="4"/>
        <v>2899.5984333333331</v>
      </c>
      <c r="E9" s="552">
        <f t="shared" ca="1" si="4"/>
        <v>2899.5984333333331</v>
      </c>
      <c r="F9" s="553">
        <f t="shared" ca="1" si="4"/>
        <v>2899.5984333333331</v>
      </c>
      <c r="G9" s="12"/>
      <c r="H9" s="557">
        <f t="shared" ca="1" si="3"/>
        <v>-11051.606266666669</v>
      </c>
      <c r="I9" s="482">
        <f t="shared" ref="I9:L9" ca="1" si="5">SUM(I4:I8)</f>
        <v>2172.8548765333335</v>
      </c>
      <c r="J9" s="482">
        <f t="shared" ca="1" si="5"/>
        <v>2848.1810528029282</v>
      </c>
      <c r="K9" s="482">
        <f t="shared" ca="1" si="5"/>
        <v>3558.2964601373797</v>
      </c>
      <c r="L9" s="551">
        <f t="shared" ca="1" si="5"/>
        <v>4304.654237723812</v>
      </c>
      <c r="M9" s="551">
        <f t="shared" ref="M9:N9" ca="1" si="6">SUM(M4:M8)</f>
        <v>5078.3180817574257</v>
      </c>
      <c r="N9" s="551">
        <f t="shared" ca="1" si="6"/>
        <v>5796.2326185639567</v>
      </c>
      <c r="O9" s="551">
        <f t="shared" ref="O9:Q9" ca="1" si="7">SUM(O4:O8)</f>
        <v>6390.2578709862837</v>
      </c>
      <c r="P9" s="551">
        <f t="shared" ca="1" si="7"/>
        <v>7002.8311840591277</v>
      </c>
      <c r="Q9" s="551">
        <f t="shared" ca="1" si="7"/>
        <v>-20933.400058961113</v>
      </c>
      <c r="R9" s="551">
        <f t="shared" ref="R9:U9" ca="1" si="8">SUM(R4:R8)</f>
        <v>7471.6591083911599</v>
      </c>
      <c r="S9" s="551">
        <f t="shared" ca="1" si="8"/>
        <v>8165.0324544083041</v>
      </c>
      <c r="T9" s="551">
        <f t="shared" ca="1" si="8"/>
        <v>8883.0244946038802</v>
      </c>
      <c r="U9" s="551">
        <f t="shared" ca="1" si="8"/>
        <v>11602.465953902898</v>
      </c>
      <c r="V9" s="551">
        <f t="shared" ref="V9:AU9" ca="1" si="9">SUM(V4:V8)</f>
        <v>12698.629166093673</v>
      </c>
      <c r="W9" s="551">
        <f t="shared" ca="1" si="9"/>
        <v>13841.709296927664</v>
      </c>
      <c r="X9" s="551">
        <f t="shared" ca="1" si="9"/>
        <v>15033.41781931237</v>
      </c>
      <c r="Y9" s="551">
        <f t="shared" ca="1" si="9"/>
        <v>16275.523882604666</v>
      </c>
      <c r="Z9" s="551">
        <f t="shared" ca="1" si="9"/>
        <v>17569.85616682022</v>
      </c>
      <c r="AA9" s="551">
        <f t="shared" ca="1" si="9"/>
        <v>-17650.818202094368</v>
      </c>
      <c r="AB9" s="551">
        <f t="shared" ca="1" si="9"/>
        <v>19333.583950335818</v>
      </c>
      <c r="AC9" s="551">
        <f t="shared" ca="1" si="9"/>
        <v>20872.762470552283</v>
      </c>
      <c r="AD9" s="551">
        <f t="shared" ca="1" si="9"/>
        <v>22373.36739759909</v>
      </c>
      <c r="AE9" s="551">
        <f t="shared" ca="1" si="9"/>
        <v>23935.765026702295</v>
      </c>
      <c r="AF9" s="551">
        <f t="shared" ca="1" si="9"/>
        <v>25562.170426886008</v>
      </c>
      <c r="AG9" s="551">
        <f t="shared" ca="1" si="9"/>
        <v>27264.143090368347</v>
      </c>
      <c r="AH9" s="551">
        <f t="shared" ca="1" si="9"/>
        <v>29025.732524036885</v>
      </c>
      <c r="AI9" s="551">
        <f t="shared" ca="1" si="9"/>
        <v>30858.433402498213</v>
      </c>
      <c r="AJ9" s="551">
        <f t="shared" ca="1" si="9"/>
        <v>32764.771039873598</v>
      </c>
      <c r="AK9" s="551">
        <f t="shared" ca="1" si="9"/>
        <v>-12064.214583661753</v>
      </c>
      <c r="AL9" s="551">
        <f t="shared" ca="1" si="9"/>
        <v>-11897.547916995085</v>
      </c>
      <c r="AM9" s="551">
        <f t="shared" ca="1" si="9"/>
        <v>38086.132384002995</v>
      </c>
      <c r="AN9" s="551">
        <f t="shared" ca="1" si="9"/>
        <v>40424.52517831781</v>
      </c>
      <c r="AO9" s="551">
        <f t="shared" ca="1" si="9"/>
        <v>42716.597084074114</v>
      </c>
      <c r="AP9" s="551">
        <f t="shared" ca="1" si="9"/>
        <v>45098.746352799935</v>
      </c>
      <c r="AQ9" s="551">
        <f t="shared" ca="1" si="9"/>
        <v>47574.130176084618</v>
      </c>
      <c r="AR9" s="551">
        <f t="shared" ca="1" si="9"/>
        <v>50146.009719780704</v>
      </c>
      <c r="AS9" s="551">
        <f t="shared" ca="1" si="9"/>
        <v>52817.753417249121</v>
      </c>
      <c r="AT9" s="551">
        <f t="shared" ca="1" si="9"/>
        <v>55592.84036418586</v>
      </c>
      <c r="AU9" s="551">
        <f t="shared" ca="1" si="9"/>
        <v>-1447.9023313306097</v>
      </c>
    </row>
    <row r="10" spans="2:47" ht="15.75" customHeight="1">
      <c r="B10" s="466"/>
      <c r="C10" s="482"/>
      <c r="D10" s="482"/>
      <c r="E10" s="482"/>
      <c r="F10" s="551"/>
      <c r="G10" s="12"/>
      <c r="H10" s="557"/>
      <c r="I10" s="482"/>
      <c r="J10" s="482"/>
      <c r="K10" s="482"/>
      <c r="L10" s="551"/>
      <c r="M10" s="551"/>
      <c r="N10" s="551"/>
      <c r="O10" s="551"/>
      <c r="P10" s="551"/>
      <c r="Q10" s="551"/>
      <c r="R10" s="551"/>
      <c r="S10" s="551"/>
      <c r="T10" s="551"/>
      <c r="U10" s="551"/>
      <c r="V10" s="551"/>
      <c r="W10" s="551"/>
      <c r="X10" s="551"/>
      <c r="Y10" s="551"/>
      <c r="Z10" s="551"/>
      <c r="AA10" s="551"/>
      <c r="AB10" s="551"/>
      <c r="AC10" s="551"/>
      <c r="AD10" s="551"/>
      <c r="AE10" s="551"/>
      <c r="AF10" s="551"/>
      <c r="AG10" s="551"/>
      <c r="AH10" s="551"/>
      <c r="AI10" s="551"/>
      <c r="AJ10" s="551"/>
      <c r="AK10" s="551"/>
      <c r="AL10" s="551"/>
      <c r="AM10" s="551"/>
      <c r="AN10" s="551"/>
      <c r="AO10" s="551"/>
      <c r="AP10" s="551"/>
      <c r="AQ10" s="551"/>
      <c r="AR10" s="551"/>
      <c r="AS10" s="551"/>
      <c r="AT10" s="551"/>
      <c r="AU10" s="551"/>
    </row>
    <row r="11" spans="2:47" ht="15.75" customHeight="1">
      <c r="B11" s="253" t="s">
        <v>214</v>
      </c>
      <c r="C11" s="482">
        <v>0</v>
      </c>
      <c r="D11" s="482">
        <f t="shared" ref="D11:F11" ca="1" si="10">C14</f>
        <v>-19750.401566666667</v>
      </c>
      <c r="E11" s="482">
        <f t="shared" ca="1" si="10"/>
        <v>-16850.803133333335</v>
      </c>
      <c r="F11" s="551">
        <f t="shared" ca="1" si="10"/>
        <v>-13951.204700000002</v>
      </c>
      <c r="G11" s="12"/>
      <c r="H11" s="557">
        <v>0</v>
      </c>
      <c r="I11" s="482">
        <f t="shared" ref="I11:N11" ca="1" si="11">H14</f>
        <v>-11051.606266666668</v>
      </c>
      <c r="J11" s="482">
        <f t="shared" ca="1" si="11"/>
        <v>-8878.7513901333332</v>
      </c>
      <c r="K11" s="482">
        <f t="shared" ca="1" si="11"/>
        <v>-6030.570337330405</v>
      </c>
      <c r="L11" s="551">
        <f t="shared" ca="1" si="11"/>
        <v>-2472.2738771930253</v>
      </c>
      <c r="M11" s="551">
        <f t="shared" ca="1" si="11"/>
        <v>0</v>
      </c>
      <c r="N11" s="551">
        <f t="shared" ca="1" si="11"/>
        <v>0</v>
      </c>
      <c r="O11" s="551">
        <f t="shared" ref="O11" ca="1" si="12">N14</f>
        <v>0</v>
      </c>
      <c r="P11" s="551">
        <f t="shared" ref="P11" ca="1" si="13">O14</f>
        <v>0</v>
      </c>
      <c r="Q11" s="551">
        <f t="shared" ref="Q11" ca="1" si="14">P14</f>
        <v>0</v>
      </c>
      <c r="R11" s="551">
        <f t="shared" ref="R11" ca="1" si="15">Q14</f>
        <v>-20933.400058961113</v>
      </c>
      <c r="S11" s="551">
        <f t="shared" ref="S11" ca="1" si="16">R14</f>
        <v>-13461.740950569954</v>
      </c>
      <c r="T11" s="551">
        <f t="shared" ref="T11" ca="1" si="17">S14</f>
        <v>-5296.7084961616501</v>
      </c>
      <c r="U11" s="551">
        <f t="shared" ref="U11" ca="1" si="18">T14</f>
        <v>0</v>
      </c>
      <c r="V11" s="551">
        <f t="shared" ref="V11" ca="1" si="19">U14</f>
        <v>0</v>
      </c>
      <c r="W11" s="551">
        <f t="shared" ref="W11" ca="1" si="20">V14</f>
        <v>0</v>
      </c>
      <c r="X11" s="551">
        <f t="shared" ref="X11" ca="1" si="21">W14</f>
        <v>0</v>
      </c>
      <c r="Y11" s="551">
        <f t="shared" ref="Y11" ca="1" si="22">X14</f>
        <v>0</v>
      </c>
      <c r="Z11" s="551">
        <f t="shared" ref="Z11" ca="1" si="23">Y14</f>
        <v>0</v>
      </c>
      <c r="AA11" s="551">
        <f t="shared" ref="AA11" ca="1" si="24">Z14</f>
        <v>0</v>
      </c>
      <c r="AB11" s="551">
        <f t="shared" ref="AB11" ca="1" si="25">AA14</f>
        <v>-17650.818202094368</v>
      </c>
      <c r="AC11" s="551">
        <f t="shared" ref="AC11" ca="1" si="26">AB14</f>
        <v>0</v>
      </c>
      <c r="AD11" s="551">
        <f t="shared" ref="AD11" ca="1" si="27">AC14</f>
        <v>0</v>
      </c>
      <c r="AE11" s="551">
        <f t="shared" ref="AE11" ca="1" si="28">AD14</f>
        <v>0</v>
      </c>
      <c r="AF11" s="551">
        <f t="shared" ref="AF11" ca="1" si="29">AE14</f>
        <v>0</v>
      </c>
      <c r="AG11" s="551">
        <f t="shared" ref="AG11" ca="1" si="30">AF14</f>
        <v>0</v>
      </c>
      <c r="AH11" s="551">
        <f t="shared" ref="AH11" ca="1" si="31">AG14</f>
        <v>0</v>
      </c>
      <c r="AI11" s="551">
        <f t="shared" ref="AI11" ca="1" si="32">AH14</f>
        <v>0</v>
      </c>
      <c r="AJ11" s="551">
        <f t="shared" ref="AJ11" ca="1" si="33">AI14</f>
        <v>0</v>
      </c>
      <c r="AK11" s="551">
        <f t="shared" ref="AK11" ca="1" si="34">AJ14</f>
        <v>0</v>
      </c>
      <c r="AL11" s="551">
        <f t="shared" ref="AL11" ca="1" si="35">AK14</f>
        <v>-12064.214583661753</v>
      </c>
      <c r="AM11" s="551">
        <f t="shared" ref="AM11" ca="1" si="36">AL14</f>
        <v>-23961.762500656838</v>
      </c>
      <c r="AN11" s="551">
        <f t="shared" ref="AN11" ca="1" si="37">AM14</f>
        <v>0</v>
      </c>
      <c r="AO11" s="551">
        <f t="shared" ref="AO11" ca="1" si="38">AN14</f>
        <v>0</v>
      </c>
      <c r="AP11" s="551">
        <f t="shared" ref="AP11" ca="1" si="39">AO14</f>
        <v>0</v>
      </c>
      <c r="AQ11" s="551">
        <f t="shared" ref="AQ11" ca="1" si="40">AP14</f>
        <v>0</v>
      </c>
      <c r="AR11" s="551">
        <f t="shared" ref="AR11" ca="1" si="41">AQ14</f>
        <v>0</v>
      </c>
      <c r="AS11" s="551">
        <f t="shared" ref="AS11" ca="1" si="42">AR14</f>
        <v>0</v>
      </c>
      <c r="AT11" s="551">
        <f t="shared" ref="AT11" ca="1" si="43">AS14</f>
        <v>0</v>
      </c>
      <c r="AU11" s="551">
        <f t="shared" ref="AU11" ca="1" si="44">AT14</f>
        <v>0</v>
      </c>
    </row>
    <row r="12" spans="2:47" ht="15.75" customHeight="1">
      <c r="B12" s="253" t="s">
        <v>215</v>
      </c>
      <c r="C12" s="482">
        <f t="shared" ref="C12:F12" ca="1" si="45">IF(C9&lt;0, C9,0)</f>
        <v>-19750.401566666667</v>
      </c>
      <c r="D12" s="482">
        <f t="shared" ca="1" si="45"/>
        <v>0</v>
      </c>
      <c r="E12" s="482">
        <f t="shared" ca="1" si="45"/>
        <v>0</v>
      </c>
      <c r="F12" s="551">
        <f t="shared" ca="1" si="45"/>
        <v>0</v>
      </c>
      <c r="G12" s="12"/>
      <c r="H12" s="557">
        <f t="shared" ref="H12:H13" ca="1" si="46">SUM(C12:F12)</f>
        <v>-19750.401566666667</v>
      </c>
      <c r="I12" s="482">
        <f t="shared" ref="I12:L12" ca="1" si="47">IF(I9&lt;0, I9,0)</f>
        <v>0</v>
      </c>
      <c r="J12" s="482">
        <f t="shared" ca="1" si="47"/>
        <v>0</v>
      </c>
      <c r="K12" s="482">
        <f t="shared" ca="1" si="47"/>
        <v>0</v>
      </c>
      <c r="L12" s="551">
        <f t="shared" ca="1" si="47"/>
        <v>0</v>
      </c>
      <c r="M12" s="551">
        <f t="shared" ref="M12:N12" ca="1" si="48">IF(M9&lt;0, M9,0)</f>
        <v>0</v>
      </c>
      <c r="N12" s="551">
        <f t="shared" ca="1" si="48"/>
        <v>0</v>
      </c>
      <c r="O12" s="551">
        <f t="shared" ref="O12:Q12" ca="1" si="49">IF(O9&lt;0, O9,0)</f>
        <v>0</v>
      </c>
      <c r="P12" s="551">
        <f t="shared" ca="1" si="49"/>
        <v>0</v>
      </c>
      <c r="Q12" s="551">
        <f t="shared" ca="1" si="49"/>
        <v>-20933.400058961113</v>
      </c>
      <c r="R12" s="551">
        <f t="shared" ref="R12:U12" ca="1" si="50">IF(R9&lt;0, R9,0)</f>
        <v>0</v>
      </c>
      <c r="S12" s="551">
        <f t="shared" ca="1" si="50"/>
        <v>0</v>
      </c>
      <c r="T12" s="551">
        <f t="shared" ca="1" si="50"/>
        <v>0</v>
      </c>
      <c r="U12" s="551">
        <f t="shared" ca="1" si="50"/>
        <v>0</v>
      </c>
      <c r="V12" s="551">
        <f t="shared" ref="V12:AU12" ca="1" si="51">IF(V9&lt;0, V9,0)</f>
        <v>0</v>
      </c>
      <c r="W12" s="551">
        <f t="shared" ca="1" si="51"/>
        <v>0</v>
      </c>
      <c r="X12" s="551">
        <f t="shared" ca="1" si="51"/>
        <v>0</v>
      </c>
      <c r="Y12" s="551">
        <f t="shared" ca="1" si="51"/>
        <v>0</v>
      </c>
      <c r="Z12" s="551">
        <f t="shared" ca="1" si="51"/>
        <v>0</v>
      </c>
      <c r="AA12" s="551">
        <f t="shared" ca="1" si="51"/>
        <v>-17650.818202094368</v>
      </c>
      <c r="AB12" s="551">
        <f t="shared" ca="1" si="51"/>
        <v>0</v>
      </c>
      <c r="AC12" s="551">
        <f t="shared" ca="1" si="51"/>
        <v>0</v>
      </c>
      <c r="AD12" s="551">
        <f t="shared" ca="1" si="51"/>
        <v>0</v>
      </c>
      <c r="AE12" s="551">
        <f t="shared" ca="1" si="51"/>
        <v>0</v>
      </c>
      <c r="AF12" s="551">
        <f t="shared" ca="1" si="51"/>
        <v>0</v>
      </c>
      <c r="AG12" s="551">
        <f t="shared" ca="1" si="51"/>
        <v>0</v>
      </c>
      <c r="AH12" s="551">
        <f t="shared" ca="1" si="51"/>
        <v>0</v>
      </c>
      <c r="AI12" s="551">
        <f t="shared" ca="1" si="51"/>
        <v>0</v>
      </c>
      <c r="AJ12" s="551">
        <f t="shared" ca="1" si="51"/>
        <v>0</v>
      </c>
      <c r="AK12" s="551">
        <f t="shared" ca="1" si="51"/>
        <v>-12064.214583661753</v>
      </c>
      <c r="AL12" s="551">
        <f t="shared" ca="1" si="51"/>
        <v>-11897.547916995085</v>
      </c>
      <c r="AM12" s="551">
        <f t="shared" ca="1" si="51"/>
        <v>0</v>
      </c>
      <c r="AN12" s="551">
        <f t="shared" ca="1" si="51"/>
        <v>0</v>
      </c>
      <c r="AO12" s="551">
        <f t="shared" ca="1" si="51"/>
        <v>0</v>
      </c>
      <c r="AP12" s="551">
        <f t="shared" ca="1" si="51"/>
        <v>0</v>
      </c>
      <c r="AQ12" s="551">
        <f t="shared" ca="1" si="51"/>
        <v>0</v>
      </c>
      <c r="AR12" s="551">
        <f t="shared" ca="1" si="51"/>
        <v>0</v>
      </c>
      <c r="AS12" s="551">
        <f t="shared" ca="1" si="51"/>
        <v>0</v>
      </c>
      <c r="AT12" s="551">
        <f t="shared" ca="1" si="51"/>
        <v>0</v>
      </c>
      <c r="AU12" s="551">
        <f t="shared" ca="1" si="51"/>
        <v>-1447.9023313306097</v>
      </c>
    </row>
    <row r="13" spans="2:47" ht="15.75" customHeight="1">
      <c r="B13" s="253" t="s">
        <v>216</v>
      </c>
      <c r="C13" s="482">
        <v>0</v>
      </c>
      <c r="D13" s="482">
        <f t="shared" ref="D13:F13" ca="1" si="52">IF(D9&gt;0, IF(D9&lt;-D11,D9,-D11),0)</f>
        <v>2899.5984333333331</v>
      </c>
      <c r="E13" s="482">
        <f t="shared" ca="1" si="52"/>
        <v>2899.5984333333331</v>
      </c>
      <c r="F13" s="551">
        <f t="shared" ca="1" si="52"/>
        <v>2899.5984333333331</v>
      </c>
      <c r="G13" s="12"/>
      <c r="H13" s="557">
        <f t="shared" ca="1" si="46"/>
        <v>8698.7952999999998</v>
      </c>
      <c r="I13" s="482">
        <f t="shared" ref="I13:L13" ca="1" si="53">IF(I9&gt;0, IF(I9&lt;-I11,I9,-I11),0)</f>
        <v>2172.8548765333335</v>
      </c>
      <c r="J13" s="482">
        <f t="shared" ca="1" si="53"/>
        <v>2848.1810528029282</v>
      </c>
      <c r="K13" s="482">
        <f t="shared" ca="1" si="53"/>
        <v>3558.2964601373797</v>
      </c>
      <c r="L13" s="551">
        <f t="shared" ca="1" si="53"/>
        <v>2472.2738771930253</v>
      </c>
      <c r="M13" s="551">
        <f t="shared" ref="M13:N13" ca="1" si="54">IF(M9&gt;0, IF(M9&lt;-M11,M9,-M11),0)</f>
        <v>0</v>
      </c>
      <c r="N13" s="551">
        <f t="shared" ca="1" si="54"/>
        <v>0</v>
      </c>
      <c r="O13" s="551">
        <f t="shared" ref="O13:Q13" ca="1" si="55">IF(O9&gt;0, IF(O9&lt;-O11,O9,-O11),0)</f>
        <v>0</v>
      </c>
      <c r="P13" s="551">
        <f t="shared" ca="1" si="55"/>
        <v>0</v>
      </c>
      <c r="Q13" s="551">
        <f t="shared" ca="1" si="55"/>
        <v>0</v>
      </c>
      <c r="R13" s="551">
        <f t="shared" ref="R13:U13" ca="1" si="56">IF(R9&gt;0, IF(R9&lt;-R11,R9,-R11),0)</f>
        <v>7471.6591083911599</v>
      </c>
      <c r="S13" s="551">
        <f t="shared" ca="1" si="56"/>
        <v>8165.0324544083041</v>
      </c>
      <c r="T13" s="551">
        <f t="shared" ca="1" si="56"/>
        <v>5296.7084961616501</v>
      </c>
      <c r="U13" s="551">
        <f t="shared" ca="1" si="56"/>
        <v>0</v>
      </c>
      <c r="V13" s="551">
        <f t="shared" ref="V13:AU13" ca="1" si="57">IF(V9&gt;0, IF(V9&lt;-V11,V9,-V11),0)</f>
        <v>0</v>
      </c>
      <c r="W13" s="551">
        <f t="shared" ca="1" si="57"/>
        <v>0</v>
      </c>
      <c r="X13" s="551">
        <f t="shared" ca="1" si="57"/>
        <v>0</v>
      </c>
      <c r="Y13" s="551">
        <f t="shared" ca="1" si="57"/>
        <v>0</v>
      </c>
      <c r="Z13" s="551">
        <f t="shared" ca="1" si="57"/>
        <v>0</v>
      </c>
      <c r="AA13" s="551">
        <f t="shared" ca="1" si="57"/>
        <v>0</v>
      </c>
      <c r="AB13" s="551">
        <f t="shared" ca="1" si="57"/>
        <v>17650.818202094368</v>
      </c>
      <c r="AC13" s="551">
        <f t="shared" ca="1" si="57"/>
        <v>0</v>
      </c>
      <c r="AD13" s="551">
        <f t="shared" ca="1" si="57"/>
        <v>0</v>
      </c>
      <c r="AE13" s="551">
        <f t="shared" ca="1" si="57"/>
        <v>0</v>
      </c>
      <c r="AF13" s="551">
        <f t="shared" ca="1" si="57"/>
        <v>0</v>
      </c>
      <c r="AG13" s="551">
        <f t="shared" ca="1" si="57"/>
        <v>0</v>
      </c>
      <c r="AH13" s="551">
        <f t="shared" ca="1" si="57"/>
        <v>0</v>
      </c>
      <c r="AI13" s="551">
        <f t="shared" ca="1" si="57"/>
        <v>0</v>
      </c>
      <c r="AJ13" s="551">
        <f t="shared" ca="1" si="57"/>
        <v>0</v>
      </c>
      <c r="AK13" s="551">
        <f t="shared" ca="1" si="57"/>
        <v>0</v>
      </c>
      <c r="AL13" s="551">
        <f t="shared" ca="1" si="57"/>
        <v>0</v>
      </c>
      <c r="AM13" s="551">
        <f t="shared" ca="1" si="57"/>
        <v>23961.762500656838</v>
      </c>
      <c r="AN13" s="551">
        <f t="shared" ca="1" si="57"/>
        <v>0</v>
      </c>
      <c r="AO13" s="551">
        <f t="shared" ca="1" si="57"/>
        <v>0</v>
      </c>
      <c r="AP13" s="551">
        <f t="shared" ca="1" si="57"/>
        <v>0</v>
      </c>
      <c r="AQ13" s="551">
        <f t="shared" ca="1" si="57"/>
        <v>0</v>
      </c>
      <c r="AR13" s="551">
        <f t="shared" ca="1" si="57"/>
        <v>0</v>
      </c>
      <c r="AS13" s="551">
        <f t="shared" ca="1" si="57"/>
        <v>0</v>
      </c>
      <c r="AT13" s="551">
        <f t="shared" ca="1" si="57"/>
        <v>0</v>
      </c>
      <c r="AU13" s="551">
        <f t="shared" ca="1" si="57"/>
        <v>0</v>
      </c>
    </row>
    <row r="14" spans="2:47" ht="15.75" customHeight="1">
      <c r="B14" s="253" t="s">
        <v>217</v>
      </c>
      <c r="C14" s="552">
        <f t="shared" ref="C14:F14" ca="1" si="58">SUM(C11:C13)</f>
        <v>-19750.401566666667</v>
      </c>
      <c r="D14" s="552">
        <f t="shared" ca="1" si="58"/>
        <v>-16850.803133333335</v>
      </c>
      <c r="E14" s="552">
        <f t="shared" ca="1" si="58"/>
        <v>-13951.204700000002</v>
      </c>
      <c r="F14" s="553">
        <f t="shared" ca="1" si="58"/>
        <v>-11051.606266666669</v>
      </c>
      <c r="G14" s="12"/>
      <c r="H14" s="558">
        <f t="shared" ref="H14:L14" ca="1" si="59">SUM(H11:H13)</f>
        <v>-11051.606266666668</v>
      </c>
      <c r="I14" s="552">
        <f t="shared" ca="1" si="59"/>
        <v>-8878.7513901333332</v>
      </c>
      <c r="J14" s="552">
        <f t="shared" ca="1" si="59"/>
        <v>-6030.570337330405</v>
      </c>
      <c r="K14" s="552">
        <f t="shared" ca="1" si="59"/>
        <v>-2472.2738771930253</v>
      </c>
      <c r="L14" s="553">
        <f t="shared" ca="1" si="59"/>
        <v>0</v>
      </c>
      <c r="M14" s="553">
        <f t="shared" ref="M14:Q14" ca="1" si="60">SUM(M11:M13)</f>
        <v>0</v>
      </c>
      <c r="N14" s="553">
        <f t="shared" ca="1" si="60"/>
        <v>0</v>
      </c>
      <c r="O14" s="553">
        <f t="shared" ca="1" si="60"/>
        <v>0</v>
      </c>
      <c r="P14" s="553">
        <f t="shared" ca="1" si="60"/>
        <v>0</v>
      </c>
      <c r="Q14" s="553">
        <f t="shared" ca="1" si="60"/>
        <v>-20933.400058961113</v>
      </c>
      <c r="R14" s="553">
        <f t="shared" ref="R14:U14" ca="1" si="61">SUM(R11:R13)</f>
        <v>-13461.740950569954</v>
      </c>
      <c r="S14" s="553">
        <f t="shared" ca="1" si="61"/>
        <v>-5296.7084961616501</v>
      </c>
      <c r="T14" s="553">
        <f t="shared" ca="1" si="61"/>
        <v>0</v>
      </c>
      <c r="U14" s="553">
        <f t="shared" ca="1" si="61"/>
        <v>0</v>
      </c>
      <c r="V14" s="553">
        <f t="shared" ref="V14:AU14" ca="1" si="62">SUM(V11:V13)</f>
        <v>0</v>
      </c>
      <c r="W14" s="553">
        <f t="shared" ca="1" si="62"/>
        <v>0</v>
      </c>
      <c r="X14" s="553">
        <f t="shared" ca="1" si="62"/>
        <v>0</v>
      </c>
      <c r="Y14" s="553">
        <f t="shared" ca="1" si="62"/>
        <v>0</v>
      </c>
      <c r="Z14" s="553">
        <f t="shared" ca="1" si="62"/>
        <v>0</v>
      </c>
      <c r="AA14" s="553">
        <f t="shared" ca="1" si="62"/>
        <v>-17650.818202094368</v>
      </c>
      <c r="AB14" s="553">
        <f t="shared" ca="1" si="62"/>
        <v>0</v>
      </c>
      <c r="AC14" s="553">
        <f t="shared" ca="1" si="62"/>
        <v>0</v>
      </c>
      <c r="AD14" s="553">
        <f t="shared" ca="1" si="62"/>
        <v>0</v>
      </c>
      <c r="AE14" s="553">
        <f t="shared" ca="1" si="62"/>
        <v>0</v>
      </c>
      <c r="AF14" s="553">
        <f t="shared" ca="1" si="62"/>
        <v>0</v>
      </c>
      <c r="AG14" s="553">
        <f t="shared" ca="1" si="62"/>
        <v>0</v>
      </c>
      <c r="AH14" s="553">
        <f t="shared" ca="1" si="62"/>
        <v>0</v>
      </c>
      <c r="AI14" s="553">
        <f t="shared" ca="1" si="62"/>
        <v>0</v>
      </c>
      <c r="AJ14" s="553">
        <f t="shared" ca="1" si="62"/>
        <v>0</v>
      </c>
      <c r="AK14" s="553">
        <f t="shared" ca="1" si="62"/>
        <v>-12064.214583661753</v>
      </c>
      <c r="AL14" s="553">
        <f t="shared" ca="1" si="62"/>
        <v>-23961.762500656838</v>
      </c>
      <c r="AM14" s="553">
        <f t="shared" ca="1" si="62"/>
        <v>0</v>
      </c>
      <c r="AN14" s="553">
        <f t="shared" ca="1" si="62"/>
        <v>0</v>
      </c>
      <c r="AO14" s="553">
        <f t="shared" ca="1" si="62"/>
        <v>0</v>
      </c>
      <c r="AP14" s="553">
        <f t="shared" ca="1" si="62"/>
        <v>0</v>
      </c>
      <c r="AQ14" s="553">
        <f t="shared" ca="1" si="62"/>
        <v>0</v>
      </c>
      <c r="AR14" s="553">
        <f t="shared" ca="1" si="62"/>
        <v>0</v>
      </c>
      <c r="AS14" s="553">
        <f t="shared" ca="1" si="62"/>
        <v>0</v>
      </c>
      <c r="AT14" s="553">
        <f t="shared" ca="1" si="62"/>
        <v>0</v>
      </c>
      <c r="AU14" s="553">
        <f t="shared" ca="1" si="62"/>
        <v>-1447.9023313306097</v>
      </c>
    </row>
    <row r="15" spans="2:47" ht="15.75" customHeight="1">
      <c r="B15" s="466"/>
      <c r="C15" s="482"/>
      <c r="D15" s="482"/>
      <c r="E15" s="482"/>
      <c r="F15" s="551"/>
      <c r="G15" s="12"/>
      <c r="H15" s="557"/>
      <c r="I15" s="482"/>
      <c r="J15" s="482"/>
      <c r="K15" s="482"/>
      <c r="L15" s="551"/>
      <c r="M15" s="551"/>
      <c r="N15" s="551"/>
      <c r="O15" s="551"/>
      <c r="P15" s="551"/>
      <c r="Q15" s="551"/>
      <c r="R15" s="551"/>
      <c r="S15" s="551"/>
      <c r="T15" s="551"/>
      <c r="U15" s="551"/>
      <c r="V15" s="551"/>
      <c r="W15" s="551"/>
      <c r="X15" s="551"/>
      <c r="Y15" s="551"/>
      <c r="Z15" s="551"/>
      <c r="AA15" s="551"/>
      <c r="AB15" s="551"/>
      <c r="AC15" s="551"/>
      <c r="AD15" s="551"/>
      <c r="AE15" s="551"/>
      <c r="AF15" s="551"/>
      <c r="AG15" s="551"/>
      <c r="AH15" s="551"/>
      <c r="AI15" s="551"/>
      <c r="AJ15" s="551"/>
      <c r="AK15" s="551"/>
      <c r="AL15" s="551"/>
      <c r="AM15" s="551"/>
      <c r="AN15" s="551"/>
      <c r="AO15" s="551"/>
      <c r="AP15" s="551"/>
      <c r="AQ15" s="551"/>
      <c r="AR15" s="551"/>
      <c r="AS15" s="551"/>
      <c r="AT15" s="551"/>
      <c r="AU15" s="551"/>
    </row>
    <row r="16" spans="2:47" ht="15.75" customHeight="1">
      <c r="B16" s="253" t="s">
        <v>328</v>
      </c>
      <c r="C16" s="552">
        <f t="shared" ref="C16:F16" ca="1" si="63">IF(C9-C13&gt;0,C9-C13,0 )</f>
        <v>0</v>
      </c>
      <c r="D16" s="552">
        <f t="shared" ca="1" si="63"/>
        <v>0</v>
      </c>
      <c r="E16" s="552">
        <f t="shared" ca="1" si="63"/>
        <v>0</v>
      </c>
      <c r="F16" s="553">
        <f t="shared" ca="1" si="63"/>
        <v>0</v>
      </c>
      <c r="G16" s="12"/>
      <c r="H16" s="558">
        <f ca="1">IF(H9+H13&gt;0,H9+H13,0 )</f>
        <v>0</v>
      </c>
      <c r="I16" s="552">
        <f t="shared" ref="I16:L16" ca="1" si="64">IF(I9-I13&gt;0,I9-I13,0 )</f>
        <v>0</v>
      </c>
      <c r="J16" s="552">
        <f t="shared" ca="1" si="64"/>
        <v>0</v>
      </c>
      <c r="K16" s="552">
        <f t="shared" ca="1" si="64"/>
        <v>0</v>
      </c>
      <c r="L16" s="553">
        <f t="shared" ca="1" si="64"/>
        <v>1832.3803605307867</v>
      </c>
      <c r="M16" s="553">
        <f t="shared" ref="M16:N16" ca="1" si="65">IF(M9-M13&gt;0,M9-M13,0 )</f>
        <v>5078.3180817574257</v>
      </c>
      <c r="N16" s="553">
        <f t="shared" ca="1" si="65"/>
        <v>5796.2326185639567</v>
      </c>
      <c r="O16" s="553">
        <f t="shared" ref="O16:Q16" ca="1" si="66">IF(O9-O13&gt;0,O9-O13,0 )</f>
        <v>6390.2578709862837</v>
      </c>
      <c r="P16" s="553">
        <f t="shared" ca="1" si="66"/>
        <v>7002.8311840591277</v>
      </c>
      <c r="Q16" s="553">
        <f t="shared" ca="1" si="66"/>
        <v>0</v>
      </c>
      <c r="R16" s="553">
        <f t="shared" ref="R16:U16" ca="1" si="67">IF(R9-R13&gt;0,R9-R13,0 )</f>
        <v>0</v>
      </c>
      <c r="S16" s="553">
        <f t="shared" ca="1" si="67"/>
        <v>0</v>
      </c>
      <c r="T16" s="553">
        <f t="shared" ca="1" si="67"/>
        <v>3586.31599844223</v>
      </c>
      <c r="U16" s="553">
        <f t="shared" ca="1" si="67"/>
        <v>11602.465953902898</v>
      </c>
      <c r="V16" s="553">
        <f t="shared" ref="V16:AU16" ca="1" si="68">IF(V9-V13&gt;0,V9-V13,0 )</f>
        <v>12698.629166093673</v>
      </c>
      <c r="W16" s="553">
        <f t="shared" ca="1" si="68"/>
        <v>13841.709296927664</v>
      </c>
      <c r="X16" s="553">
        <f t="shared" ca="1" si="68"/>
        <v>15033.41781931237</v>
      </c>
      <c r="Y16" s="553">
        <f t="shared" ca="1" si="68"/>
        <v>16275.523882604666</v>
      </c>
      <c r="Z16" s="553">
        <f t="shared" ca="1" si="68"/>
        <v>17569.85616682022</v>
      </c>
      <c r="AA16" s="553">
        <f t="shared" ca="1" si="68"/>
        <v>0</v>
      </c>
      <c r="AB16" s="553">
        <f t="shared" ca="1" si="68"/>
        <v>1682.7657482414506</v>
      </c>
      <c r="AC16" s="553">
        <f t="shared" ca="1" si="68"/>
        <v>20872.762470552283</v>
      </c>
      <c r="AD16" s="553">
        <f t="shared" ca="1" si="68"/>
        <v>22373.36739759909</v>
      </c>
      <c r="AE16" s="553">
        <f t="shared" ca="1" si="68"/>
        <v>23935.765026702295</v>
      </c>
      <c r="AF16" s="553">
        <f t="shared" ca="1" si="68"/>
        <v>25562.170426886008</v>
      </c>
      <c r="AG16" s="553">
        <f t="shared" ca="1" si="68"/>
        <v>27264.143090368347</v>
      </c>
      <c r="AH16" s="553">
        <f t="shared" ca="1" si="68"/>
        <v>29025.732524036885</v>
      </c>
      <c r="AI16" s="553">
        <f t="shared" ca="1" si="68"/>
        <v>30858.433402498213</v>
      </c>
      <c r="AJ16" s="553">
        <f t="shared" ca="1" si="68"/>
        <v>32764.771039873598</v>
      </c>
      <c r="AK16" s="553">
        <f t="shared" ca="1" si="68"/>
        <v>0</v>
      </c>
      <c r="AL16" s="553">
        <f t="shared" ca="1" si="68"/>
        <v>0</v>
      </c>
      <c r="AM16" s="553">
        <f t="shared" ca="1" si="68"/>
        <v>14124.369883346157</v>
      </c>
      <c r="AN16" s="553">
        <f t="shared" ca="1" si="68"/>
        <v>40424.52517831781</v>
      </c>
      <c r="AO16" s="553">
        <f t="shared" ca="1" si="68"/>
        <v>42716.597084074114</v>
      </c>
      <c r="AP16" s="553">
        <f t="shared" ca="1" si="68"/>
        <v>45098.746352799935</v>
      </c>
      <c r="AQ16" s="553">
        <f t="shared" ca="1" si="68"/>
        <v>47574.130176084618</v>
      </c>
      <c r="AR16" s="553">
        <f t="shared" ca="1" si="68"/>
        <v>50146.009719780704</v>
      </c>
      <c r="AS16" s="553">
        <f t="shared" ca="1" si="68"/>
        <v>52817.753417249121</v>
      </c>
      <c r="AT16" s="553">
        <f t="shared" ca="1" si="68"/>
        <v>55592.84036418586</v>
      </c>
      <c r="AU16" s="553">
        <f t="shared" ca="1" si="68"/>
        <v>0</v>
      </c>
    </row>
    <row r="17" spans="2:47" ht="15.75" customHeight="1" thickBot="1">
      <c r="B17" s="211" t="str">
        <f>"Tax @ "&amp;'General Dashboard'!$G$5*100&amp;"%"</f>
        <v>Tax @ 19%</v>
      </c>
      <c r="C17" s="554">
        <f ca="1">-C16*'General Dashboard'!$G$5</f>
        <v>0</v>
      </c>
      <c r="D17" s="554">
        <f ca="1">-D16*'General Dashboard'!$G$5</f>
        <v>0</v>
      </c>
      <c r="E17" s="554">
        <f ca="1">-E16*'General Dashboard'!$G$5</f>
        <v>0</v>
      </c>
      <c r="F17" s="555">
        <f ca="1">-F16*'General Dashboard'!$G$5</f>
        <v>0</v>
      </c>
      <c r="G17" s="12"/>
      <c r="H17" s="559">
        <f ca="1">-H16*'General Dashboard'!$G$5</f>
        <v>0</v>
      </c>
      <c r="I17" s="554">
        <f ca="1">-I16*'General Dashboard'!$G$5</f>
        <v>0</v>
      </c>
      <c r="J17" s="554">
        <f ca="1">-J16*'General Dashboard'!$G$5</f>
        <v>0</v>
      </c>
      <c r="K17" s="554">
        <f ca="1">-K16*'General Dashboard'!$G$5</f>
        <v>0</v>
      </c>
      <c r="L17" s="555">
        <f ca="1">-L16*'General Dashboard'!$G$5</f>
        <v>-348.15226850084946</v>
      </c>
      <c r="M17" s="555">
        <f ca="1">-M16*'General Dashboard'!$G$5</f>
        <v>-964.88043553391094</v>
      </c>
      <c r="N17" s="555">
        <f ca="1">-N16*'General Dashboard'!$G$5</f>
        <v>-1101.2841975271517</v>
      </c>
      <c r="O17" s="555">
        <f ca="1">-O16*'General Dashboard'!$G$5</f>
        <v>-1214.1489954873939</v>
      </c>
      <c r="P17" s="555">
        <f ca="1">-P16*'General Dashboard'!$G$5</f>
        <v>-1330.5379249712344</v>
      </c>
      <c r="Q17" s="555">
        <f ca="1">-Q16*'General Dashboard'!$G$5</f>
        <v>0</v>
      </c>
      <c r="R17" s="555">
        <f ca="1">-R16*'General Dashboard'!$G$5</f>
        <v>0</v>
      </c>
      <c r="S17" s="555">
        <f ca="1">-S16*'General Dashboard'!$G$5</f>
        <v>0</v>
      </c>
      <c r="T17" s="555">
        <f ca="1">-T16*'General Dashboard'!$G$5</f>
        <v>-681.4000397040237</v>
      </c>
      <c r="U17" s="555">
        <f ca="1">-U16*'General Dashboard'!$G$5</f>
        <v>-2204.4685312415509</v>
      </c>
      <c r="V17" s="555">
        <f ca="1">-V16*'General Dashboard'!$G$5</f>
        <v>-2412.739541557798</v>
      </c>
      <c r="W17" s="555">
        <f ca="1">-W16*'General Dashboard'!$G$5</f>
        <v>-2629.9247664162563</v>
      </c>
      <c r="X17" s="555">
        <f ca="1">-X16*'General Dashboard'!$G$5</f>
        <v>-2856.3493856693503</v>
      </c>
      <c r="Y17" s="555">
        <f ca="1">-Y16*'General Dashboard'!$G$5</f>
        <v>-3092.3495376948867</v>
      </c>
      <c r="Z17" s="555">
        <f ca="1">-Z16*'General Dashboard'!$G$5</f>
        <v>-3338.2726716958418</v>
      </c>
      <c r="AA17" s="555">
        <f ca="1">-AA16*'General Dashboard'!$G$5</f>
        <v>0</v>
      </c>
      <c r="AB17" s="555">
        <f ca="1">-AB16*'General Dashboard'!$G$5</f>
        <v>-319.72549216587561</v>
      </c>
      <c r="AC17" s="555">
        <f ca="1">-AC16*'General Dashboard'!$G$5</f>
        <v>-3965.8248694049339</v>
      </c>
      <c r="AD17" s="555">
        <f ca="1">-AD16*'General Dashboard'!$G$5</f>
        <v>-4250.9398055438269</v>
      </c>
      <c r="AE17" s="555">
        <f ca="1">-AE16*'General Dashboard'!$G$5</f>
        <v>-4547.7953550734364</v>
      </c>
      <c r="AF17" s="555">
        <f ca="1">-AF16*'General Dashboard'!$G$5</f>
        <v>-4856.8123811083415</v>
      </c>
      <c r="AG17" s="555">
        <f ca="1">-AG16*'General Dashboard'!$G$5</f>
        <v>-5180.1871871699859</v>
      </c>
      <c r="AH17" s="555">
        <f ca="1">-AH16*'General Dashboard'!$G$5</f>
        <v>-5514.8891795670079</v>
      </c>
      <c r="AI17" s="555">
        <f ca="1">-AI16*'General Dashboard'!$G$5</f>
        <v>-5863.1023464746604</v>
      </c>
      <c r="AJ17" s="555">
        <f ca="1">-AJ16*'General Dashboard'!$G$5</f>
        <v>-6225.3064975759835</v>
      </c>
      <c r="AK17" s="555">
        <f ca="1">-AK16*'General Dashboard'!$G$5</f>
        <v>0</v>
      </c>
      <c r="AL17" s="555">
        <f ca="1">-AL16*'General Dashboard'!$G$5</f>
        <v>0</v>
      </c>
      <c r="AM17" s="555">
        <f ca="1">-AM16*'General Dashboard'!$G$5</f>
        <v>-2683.6302778357699</v>
      </c>
      <c r="AN17" s="555">
        <f ca="1">-AN16*'General Dashboard'!$G$5</f>
        <v>-7680.6597838803837</v>
      </c>
      <c r="AO17" s="555">
        <f ca="1">-AO16*'General Dashboard'!$G$5</f>
        <v>-8116.1534459740815</v>
      </c>
      <c r="AP17" s="555">
        <f ca="1">-AP16*'General Dashboard'!$G$5</f>
        <v>-8568.7618070319877</v>
      </c>
      <c r="AQ17" s="555">
        <f ca="1">-AQ16*'General Dashboard'!$G$5</f>
        <v>-9039.0847334560767</v>
      </c>
      <c r="AR17" s="555">
        <f ca="1">-AR16*'General Dashboard'!$G$5</f>
        <v>-9527.7418467583338</v>
      </c>
      <c r="AS17" s="555">
        <f ca="1">-AS16*'General Dashboard'!$G$5</f>
        <v>-10035.373149277333</v>
      </c>
      <c r="AT17" s="555">
        <f ca="1">-AT16*'General Dashboard'!$G$5</f>
        <v>-10562.639669195314</v>
      </c>
      <c r="AU17" s="555">
        <f ca="1">-AU16*'General Dashboard'!$G$5</f>
        <v>0</v>
      </c>
    </row>
    <row r="18" spans="2:47" ht="15.75" customHeight="1">
      <c r="B18" s="477"/>
      <c r="C18" s="482"/>
      <c r="D18" s="482"/>
      <c r="E18" s="482"/>
      <c r="F18" s="482"/>
      <c r="G18" s="12"/>
      <c r="H18" s="482"/>
      <c r="I18" s="482"/>
      <c r="J18" s="482"/>
      <c r="K18" s="482"/>
      <c r="L18" s="482"/>
      <c r="M18" s="482"/>
    </row>
    <row r="19" spans="2:47" ht="15.75" customHeight="1"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2:47" ht="15.75" customHeight="1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2:47" ht="15.75" customHeight="1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2:47" ht="15.75" customHeight="1"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2:47" ht="15.75" customHeight="1"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pans="2:47" ht="15.75" customHeight="1"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2:47" ht="15.75" customHeight="1"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2:47" ht="15.75" customHeight="1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2:47" ht="15.75" customHeight="1"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2:47" ht="15.75" customHeight="1"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</sheetData>
  <mergeCells count="1">
    <mergeCell ref="B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General Dashboard</vt:lpstr>
      <vt:lpstr>Start Up Costs</vt:lpstr>
      <vt:lpstr>Financial Model</vt:lpstr>
      <vt:lpstr>Summary</vt:lpstr>
      <vt:lpstr>Weekly Overheads</vt:lpstr>
      <vt:lpstr>Community Shares</vt:lpstr>
      <vt:lpstr>P&amp;L</vt:lpstr>
      <vt:lpstr>Cash Flow</vt:lpstr>
      <vt:lpstr>Balance Sheet</vt:lpstr>
      <vt:lpstr>Land Transaction Tax Rates</vt:lpstr>
      <vt:lpstr>Mortgage</vt:lpstr>
      <vt:lpstr>Tax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Lo</dc:creator>
  <cp:lastModifiedBy>Richard Lo</cp:lastModifiedBy>
  <cp:lastPrinted>2025-04-20T17:05:20Z</cp:lastPrinted>
  <dcterms:created xsi:type="dcterms:W3CDTF">2026-02-02T00:04:37Z</dcterms:created>
  <dcterms:modified xsi:type="dcterms:W3CDTF">2026-06-09T21:47:17Z</dcterms:modified>
</cp:coreProperties>
</file>